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i unidad\02 Con-tacto Fiscal\Cursos 2022\15 Anual Personas físicas\"/>
    </mc:Choice>
  </mc:AlternateContent>
  <xr:revisionPtr revIDLastSave="0" documentId="13_ncr:1_{5E5220C0-03AF-44F4-A1C0-F2C0A3908FCA}" xr6:coauthVersionLast="47" xr6:coauthVersionMax="47" xr10:uidLastSave="{00000000-0000-0000-0000-000000000000}"/>
  <bookViews>
    <workbookView xWindow="-120" yWindow="-120" windowWidth="24240" windowHeight="13140" xr2:uid="{4EF8D5C7-E93B-4591-B319-85DDC5C95F8D}"/>
  </bookViews>
  <sheets>
    <sheet name="Caso 1" sheetId="8" r:id="rId1"/>
    <sheet name="Caso 2" sheetId="1" r:id="rId2"/>
    <sheet name="Caso 3" sheetId="9" r:id="rId3"/>
    <sheet name="Caso 4" sheetId="11" r:id="rId4"/>
    <sheet name="Caso 5" sheetId="12" r:id="rId5"/>
    <sheet name="Caso 6" sheetId="5" r:id="rId6"/>
    <sheet name="Caso 7" sheetId="13" r:id="rId7"/>
    <sheet name="Tarifas" sheetId="2" r:id="rId8"/>
    <sheet name="INPC" sheetId="6" r:id="rId9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R72" i="12" l="1"/>
  <c r="G72" i="12"/>
  <c r="H72" i="12"/>
  <c r="I72" i="12"/>
  <c r="J72" i="12"/>
  <c r="K72" i="12"/>
  <c r="L72" i="12"/>
  <c r="M72" i="12"/>
  <c r="N72" i="12"/>
  <c r="O72" i="12"/>
  <c r="P72" i="12"/>
  <c r="Q72" i="12"/>
  <c r="F72" i="12"/>
  <c r="I81" i="9"/>
  <c r="I80" i="9"/>
  <c r="I79" i="9"/>
  <c r="I78" i="9"/>
  <c r="I77" i="9"/>
  <c r="I76" i="9"/>
  <c r="I75" i="9"/>
  <c r="I74" i="9"/>
  <c r="I73" i="9"/>
  <c r="I72" i="9"/>
  <c r="I71" i="9"/>
  <c r="I70" i="9"/>
  <c r="E30" i="13" l="1"/>
  <c r="E32" i="13" s="1"/>
  <c r="E21" i="13"/>
  <c r="E25" i="13" s="1"/>
  <c r="F82" i="5"/>
  <c r="E50" i="5"/>
  <c r="E49" i="5"/>
  <c r="E34" i="5"/>
  <c r="E33" i="5"/>
  <c r="O51" i="12"/>
  <c r="O50" i="12"/>
  <c r="O49" i="12"/>
  <c r="N51" i="12"/>
  <c r="N50" i="12"/>
  <c r="N49" i="12"/>
  <c r="D35" i="12"/>
  <c r="D36" i="12"/>
  <c r="E33" i="12"/>
  <c r="E32" i="12"/>
  <c r="E31" i="12"/>
  <c r="E110" i="12"/>
  <c r="E129" i="11"/>
  <c r="E51" i="11"/>
  <c r="E44" i="11"/>
  <c r="E87" i="9"/>
  <c r="E86" i="9"/>
  <c r="E111" i="9"/>
  <c r="E51" i="9"/>
  <c r="E44" i="9"/>
  <c r="E107" i="1"/>
  <c r="E78" i="1"/>
  <c r="E56" i="1"/>
  <c r="E49" i="1"/>
  <c r="E42" i="1"/>
  <c r="E129" i="8"/>
  <c r="E107" i="8"/>
  <c r="E100" i="8"/>
  <c r="E56" i="8"/>
  <c r="E93" i="8"/>
  <c r="E49" i="8"/>
  <c r="E42" i="8"/>
  <c r="L122" i="5"/>
  <c r="G76" i="12"/>
  <c r="H76" i="12"/>
  <c r="I76" i="12"/>
  <c r="J76" i="12"/>
  <c r="K76" i="12"/>
  <c r="L76" i="12"/>
  <c r="M76" i="12"/>
  <c r="N76" i="12"/>
  <c r="O76" i="12"/>
  <c r="P76" i="12"/>
  <c r="Q76" i="12"/>
  <c r="F76" i="12"/>
  <c r="Q71" i="12"/>
  <c r="P71" i="12"/>
  <c r="O71" i="12"/>
  <c r="N71" i="12"/>
  <c r="M71" i="12"/>
  <c r="L71" i="12"/>
  <c r="K71" i="12"/>
  <c r="J71" i="12"/>
  <c r="I71" i="12"/>
  <c r="H71" i="12"/>
  <c r="G71" i="12"/>
  <c r="F71" i="12"/>
  <c r="H52" i="12"/>
  <c r="F52" i="12"/>
  <c r="J51" i="12"/>
  <c r="K51" i="12" s="1"/>
  <c r="M51" i="12" s="1"/>
  <c r="I51" i="12"/>
  <c r="J50" i="12"/>
  <c r="K50" i="12" s="1"/>
  <c r="M50" i="12" s="1"/>
  <c r="I50" i="12"/>
  <c r="J49" i="12"/>
  <c r="K49" i="12" s="1"/>
  <c r="I49" i="12"/>
  <c r="E41" i="12"/>
  <c r="E30" i="12"/>
  <c r="E42" i="13" l="1"/>
  <c r="E37" i="13"/>
  <c r="E35" i="13"/>
  <c r="E33" i="13"/>
  <c r="E34" i="13" s="1"/>
  <c r="E23" i="13"/>
  <c r="P49" i="12"/>
  <c r="I52" i="12"/>
  <c r="P50" i="12"/>
  <c r="Q50" i="12" s="1"/>
  <c r="P51" i="12"/>
  <c r="Q51" i="12" s="1"/>
  <c r="K52" i="12"/>
  <c r="M49" i="12"/>
  <c r="J52" i="12"/>
  <c r="E35" i="12"/>
  <c r="E26" i="13" l="1"/>
  <c r="F39" i="13"/>
  <c r="M52" i="12"/>
  <c r="Q49" i="12"/>
  <c r="Q52" i="12" s="1"/>
  <c r="E38" i="12"/>
  <c r="E42" i="12" s="1"/>
  <c r="E43" i="12" s="1"/>
  <c r="L61" i="12" s="1"/>
  <c r="N55" i="12" l="1"/>
  <c r="L55" i="12"/>
  <c r="O55" i="12"/>
  <c r="P55" i="12"/>
  <c r="M55" i="12"/>
  <c r="Q55" i="12"/>
  <c r="I55" i="12"/>
  <c r="J55" i="12"/>
  <c r="G55" i="12"/>
  <c r="F55" i="12"/>
  <c r="H55" i="12"/>
  <c r="R56" i="12"/>
  <c r="K56" i="12"/>
  <c r="F31" i="13"/>
  <c r="E27" i="13"/>
  <c r="F30" i="13" s="1"/>
  <c r="M113" i="12"/>
  <c r="L113" i="12"/>
  <c r="N112" i="12"/>
  <c r="N111" i="12"/>
  <c r="L107" i="12"/>
  <c r="N105" i="12"/>
  <c r="N104" i="12"/>
  <c r="N103" i="12"/>
  <c r="N102" i="12"/>
  <c r="N101" i="12"/>
  <c r="N100" i="12"/>
  <c r="F74" i="12"/>
  <c r="G73" i="12" s="1"/>
  <c r="G74" i="12" s="1"/>
  <c r="H73" i="12" s="1"/>
  <c r="H74" i="12" s="1"/>
  <c r="I73" i="12" s="1"/>
  <c r="I74" i="12" s="1"/>
  <c r="J73" i="12" s="1"/>
  <c r="J74" i="12" s="1"/>
  <c r="K73" i="12" s="1"/>
  <c r="K74" i="12" s="1"/>
  <c r="L73" i="12" s="1"/>
  <c r="L74" i="12" s="1"/>
  <c r="M73" i="12" s="1"/>
  <c r="M74" i="12" s="1"/>
  <c r="N73" i="12" s="1"/>
  <c r="N74" i="12" s="1"/>
  <c r="O73" i="12" s="1"/>
  <c r="O74" i="12" s="1"/>
  <c r="P73" i="12" s="1"/>
  <c r="P74" i="12" s="1"/>
  <c r="Q73" i="12" s="1"/>
  <c r="Q74" i="12" s="1"/>
  <c r="R71" i="12"/>
  <c r="Q63" i="12"/>
  <c r="Q67" i="12" s="1"/>
  <c r="P63" i="12"/>
  <c r="P67" i="12" s="1"/>
  <c r="O63" i="12"/>
  <c r="O67" i="12" s="1"/>
  <c r="N63" i="12"/>
  <c r="N67" i="12" s="1"/>
  <c r="M63" i="12"/>
  <c r="M67" i="12" s="1"/>
  <c r="L63" i="12"/>
  <c r="L67" i="12" s="1"/>
  <c r="K63" i="12"/>
  <c r="K67" i="12" s="1"/>
  <c r="J63" i="12"/>
  <c r="J67" i="12" s="1"/>
  <c r="I63" i="12"/>
  <c r="I67" i="12" s="1"/>
  <c r="H63" i="12"/>
  <c r="H67" i="12" s="1"/>
  <c r="G63" i="12"/>
  <c r="G67" i="12" s="1"/>
  <c r="F63" i="12"/>
  <c r="F67" i="12" s="1"/>
  <c r="R62" i="12"/>
  <c r="E101" i="12" s="1"/>
  <c r="R61" i="12"/>
  <c r="E100" i="12" s="1"/>
  <c r="N123" i="11"/>
  <c r="N124" i="11"/>
  <c r="E102" i="9"/>
  <c r="P112" i="11"/>
  <c r="O112" i="11"/>
  <c r="N112" i="11"/>
  <c r="M112" i="11"/>
  <c r="L112" i="11"/>
  <c r="K112" i="11"/>
  <c r="J112" i="11"/>
  <c r="I112" i="11"/>
  <c r="H112" i="11"/>
  <c r="G112" i="11"/>
  <c r="F112" i="11"/>
  <c r="E112" i="11"/>
  <c r="Q103" i="11"/>
  <c r="P102" i="11"/>
  <c r="P105" i="11" s="1"/>
  <c r="O102" i="11"/>
  <c r="O105" i="11" s="1"/>
  <c r="N102" i="11"/>
  <c r="N105" i="11" s="1"/>
  <c r="M102" i="11"/>
  <c r="M105" i="11" s="1"/>
  <c r="L102" i="11"/>
  <c r="L105" i="11" s="1"/>
  <c r="K102" i="11"/>
  <c r="K105" i="11" s="1"/>
  <c r="J102" i="11"/>
  <c r="J105" i="11" s="1"/>
  <c r="I102" i="11"/>
  <c r="I105" i="11" s="1"/>
  <c r="H102" i="11"/>
  <c r="H105" i="11" s="1"/>
  <c r="G102" i="11"/>
  <c r="G105" i="11" s="1"/>
  <c r="F102" i="11"/>
  <c r="F105" i="11" s="1"/>
  <c r="E102" i="11"/>
  <c r="E105" i="11" s="1"/>
  <c r="Q101" i="11"/>
  <c r="F73" i="11"/>
  <c r="G72" i="11" s="1"/>
  <c r="G73" i="11" s="1"/>
  <c r="H72" i="11" s="1"/>
  <c r="H73" i="11" s="1"/>
  <c r="I72" i="11" s="1"/>
  <c r="I73" i="11" s="1"/>
  <c r="J72" i="11" s="1"/>
  <c r="J73" i="11" s="1"/>
  <c r="K72" i="11" s="1"/>
  <c r="K73" i="11" s="1"/>
  <c r="L72" i="11" s="1"/>
  <c r="L73" i="11" s="1"/>
  <c r="M72" i="11" s="1"/>
  <c r="M73" i="11" s="1"/>
  <c r="N72" i="11" s="1"/>
  <c r="N73" i="11" s="1"/>
  <c r="O72" i="11" s="1"/>
  <c r="O73" i="11" s="1"/>
  <c r="P72" i="11" s="1"/>
  <c r="P73" i="11" s="1"/>
  <c r="Q72" i="11" s="1"/>
  <c r="Q73" i="11" s="1"/>
  <c r="R71" i="11"/>
  <c r="Q63" i="11"/>
  <c r="Q67" i="11" s="1"/>
  <c r="Q75" i="11" s="1"/>
  <c r="P63" i="11"/>
  <c r="P67" i="11" s="1"/>
  <c r="P75" i="11" s="1"/>
  <c r="O63" i="11"/>
  <c r="O67" i="11" s="1"/>
  <c r="O75" i="11" s="1"/>
  <c r="N63" i="11"/>
  <c r="N67" i="11" s="1"/>
  <c r="N75" i="11" s="1"/>
  <c r="M63" i="11"/>
  <c r="M67" i="11" s="1"/>
  <c r="M75" i="11" s="1"/>
  <c r="L63" i="11"/>
  <c r="L67" i="11" s="1"/>
  <c r="L75" i="11" s="1"/>
  <c r="K63" i="11"/>
  <c r="K67" i="11" s="1"/>
  <c r="K75" i="11" s="1"/>
  <c r="J63" i="11"/>
  <c r="J67" i="11" s="1"/>
  <c r="J75" i="11" s="1"/>
  <c r="I63" i="11"/>
  <c r="I67" i="11" s="1"/>
  <c r="I75" i="11" s="1"/>
  <c r="H63" i="11"/>
  <c r="H67" i="11" s="1"/>
  <c r="H75" i="11" s="1"/>
  <c r="G63" i="11"/>
  <c r="G67" i="11" s="1"/>
  <c r="G75" i="11" s="1"/>
  <c r="F63" i="11"/>
  <c r="F67" i="11" s="1"/>
  <c r="R62" i="11"/>
  <c r="R61" i="11"/>
  <c r="E151" i="11"/>
  <c r="M132" i="11"/>
  <c r="L132" i="11"/>
  <c r="N131" i="11"/>
  <c r="N130" i="11"/>
  <c r="L126" i="11"/>
  <c r="N122" i="11"/>
  <c r="N121" i="11"/>
  <c r="N120" i="11"/>
  <c r="N119" i="11"/>
  <c r="O26" i="11"/>
  <c r="N26" i="11"/>
  <c r="N28" i="11" s="1"/>
  <c r="M26" i="11"/>
  <c r="M28" i="11" s="1"/>
  <c r="L26" i="11"/>
  <c r="L28" i="11" s="1"/>
  <c r="K26" i="11"/>
  <c r="K28" i="11" s="1"/>
  <c r="J26" i="11"/>
  <c r="J28" i="11" s="1"/>
  <c r="I26" i="11"/>
  <c r="I28" i="11" s="1"/>
  <c r="H26" i="11"/>
  <c r="H28" i="11" s="1"/>
  <c r="G26" i="11"/>
  <c r="G28" i="11" s="1"/>
  <c r="F26" i="11"/>
  <c r="F28" i="11" s="1"/>
  <c r="E26" i="11"/>
  <c r="E28" i="11" s="1"/>
  <c r="D26" i="11"/>
  <c r="D28" i="11" s="1"/>
  <c r="G22" i="11"/>
  <c r="F22" i="11"/>
  <c r="E22" i="11"/>
  <c r="N106" i="9"/>
  <c r="H71" i="9"/>
  <c r="H72" i="9"/>
  <c r="H73" i="9"/>
  <c r="H74" i="9"/>
  <c r="H75" i="9"/>
  <c r="H76" i="9"/>
  <c r="H77" i="9"/>
  <c r="H78" i="9"/>
  <c r="H79" i="9"/>
  <c r="H80" i="9"/>
  <c r="H81" i="9"/>
  <c r="H70" i="9"/>
  <c r="O75" i="9"/>
  <c r="G86" i="9"/>
  <c r="F82" i="9"/>
  <c r="E81" i="9"/>
  <c r="G81" i="9" s="1"/>
  <c r="E80" i="9"/>
  <c r="G80" i="9" s="1"/>
  <c r="E79" i="9"/>
  <c r="G79" i="9" s="1"/>
  <c r="E78" i="9"/>
  <c r="G78" i="9" s="1"/>
  <c r="E77" i="9"/>
  <c r="G77" i="9" s="1"/>
  <c r="E76" i="9"/>
  <c r="G76" i="9" s="1"/>
  <c r="E75" i="9"/>
  <c r="G75" i="9" s="1"/>
  <c r="E74" i="9"/>
  <c r="G74" i="9" s="1"/>
  <c r="E73" i="9"/>
  <c r="G73" i="9" s="1"/>
  <c r="E72" i="9"/>
  <c r="G72" i="9" s="1"/>
  <c r="E71" i="9"/>
  <c r="G71" i="9" s="1"/>
  <c r="E70" i="9"/>
  <c r="E59" i="9"/>
  <c r="E60" i="9" s="1"/>
  <c r="M114" i="9"/>
  <c r="L114" i="9"/>
  <c r="N113" i="9"/>
  <c r="N112" i="9"/>
  <c r="L108" i="9"/>
  <c r="N104" i="9"/>
  <c r="N103" i="9"/>
  <c r="N102" i="9"/>
  <c r="N101" i="9"/>
  <c r="O26" i="9"/>
  <c r="N26" i="9"/>
  <c r="N28" i="9" s="1"/>
  <c r="M26" i="9"/>
  <c r="M28" i="9" s="1"/>
  <c r="L26" i="9"/>
  <c r="L28" i="9" s="1"/>
  <c r="K26" i="9"/>
  <c r="K28" i="9" s="1"/>
  <c r="J26" i="9"/>
  <c r="J28" i="9" s="1"/>
  <c r="I26" i="9"/>
  <c r="I28" i="9" s="1"/>
  <c r="H26" i="9"/>
  <c r="G26" i="9"/>
  <c r="G28" i="9" s="1"/>
  <c r="F26" i="9"/>
  <c r="F28" i="9" s="1"/>
  <c r="E26" i="9"/>
  <c r="E28" i="9" s="1"/>
  <c r="D26" i="9"/>
  <c r="D28" i="9" s="1"/>
  <c r="G22" i="9"/>
  <c r="F22" i="9"/>
  <c r="E22" i="9"/>
  <c r="N101" i="1"/>
  <c r="M110" i="1"/>
  <c r="N109" i="1"/>
  <c r="N108" i="1"/>
  <c r="N110" i="1" s="1"/>
  <c r="N102" i="1"/>
  <c r="N100" i="1"/>
  <c r="N99" i="1"/>
  <c r="N98" i="1"/>
  <c r="F42" i="13" l="1"/>
  <c r="F32" i="13"/>
  <c r="N104" i="1"/>
  <c r="E119" i="1" s="1"/>
  <c r="E124" i="11"/>
  <c r="F69" i="12"/>
  <c r="R67" i="12"/>
  <c r="R63" i="12"/>
  <c r="N107" i="12"/>
  <c r="N113" i="12"/>
  <c r="Q112" i="11"/>
  <c r="L138" i="11" s="1"/>
  <c r="G110" i="11"/>
  <c r="G108" i="11"/>
  <c r="G106" i="11"/>
  <c r="G107" i="11" s="1"/>
  <c r="I110" i="11"/>
  <c r="I108" i="11"/>
  <c r="I106" i="11"/>
  <c r="I107" i="11" s="1"/>
  <c r="M110" i="11"/>
  <c r="M108" i="11"/>
  <c r="M106" i="11"/>
  <c r="M107" i="11" s="1"/>
  <c r="F110" i="11"/>
  <c r="F108" i="11"/>
  <c r="F106" i="11"/>
  <c r="F107" i="11" s="1"/>
  <c r="H110" i="11"/>
  <c r="H108" i="11"/>
  <c r="H106" i="11"/>
  <c r="H107" i="11" s="1"/>
  <c r="J110" i="11"/>
  <c r="J108" i="11"/>
  <c r="J106" i="11"/>
  <c r="J107" i="11" s="1"/>
  <c r="J109" i="11" s="1"/>
  <c r="L110" i="11"/>
  <c r="L108" i="11"/>
  <c r="L106" i="11"/>
  <c r="L107" i="11" s="1"/>
  <c r="N110" i="11"/>
  <c r="N108" i="11"/>
  <c r="N106" i="11"/>
  <c r="N107" i="11" s="1"/>
  <c r="P110" i="11"/>
  <c r="P108" i="11"/>
  <c r="P106" i="11"/>
  <c r="P107" i="11" s="1"/>
  <c r="E110" i="11"/>
  <c r="E108" i="11"/>
  <c r="E106" i="11"/>
  <c r="E107" i="11" s="1"/>
  <c r="E109" i="11" s="1"/>
  <c r="K110" i="11"/>
  <c r="K108" i="11"/>
  <c r="K106" i="11"/>
  <c r="K107" i="11" s="1"/>
  <c r="O110" i="11"/>
  <c r="O108" i="11"/>
  <c r="O106" i="11"/>
  <c r="O107" i="11" s="1"/>
  <c r="Q102" i="11"/>
  <c r="E137" i="11" s="1"/>
  <c r="F69" i="11"/>
  <c r="G68" i="11" s="1"/>
  <c r="G69" i="11" s="1"/>
  <c r="F75" i="11"/>
  <c r="R67" i="11"/>
  <c r="R63" i="11"/>
  <c r="N132" i="11"/>
  <c r="D35" i="11"/>
  <c r="D33" i="11"/>
  <c r="D31" i="11"/>
  <c r="D29" i="11"/>
  <c r="D30" i="11" s="1"/>
  <c r="F35" i="11"/>
  <c r="F33" i="11"/>
  <c r="F31" i="11"/>
  <c r="F29" i="11"/>
  <c r="F30" i="11" s="1"/>
  <c r="H35" i="11"/>
  <c r="H33" i="11"/>
  <c r="H31" i="11"/>
  <c r="H29" i="11"/>
  <c r="H30" i="11" s="1"/>
  <c r="J35" i="11"/>
  <c r="J33" i="11"/>
  <c r="J31" i="11"/>
  <c r="J29" i="11"/>
  <c r="J30" i="11" s="1"/>
  <c r="L35" i="11"/>
  <c r="L33" i="11"/>
  <c r="L31" i="11"/>
  <c r="L29" i="11"/>
  <c r="L30" i="11" s="1"/>
  <c r="E35" i="11"/>
  <c r="E33" i="11"/>
  <c r="E31" i="11"/>
  <c r="E29" i="11"/>
  <c r="E30" i="11" s="1"/>
  <c r="G35" i="11"/>
  <c r="G33" i="11"/>
  <c r="G31" i="11"/>
  <c r="G29" i="11"/>
  <c r="G30" i="11" s="1"/>
  <c r="I35" i="11"/>
  <c r="I33" i="11"/>
  <c r="I31" i="11"/>
  <c r="I29" i="11"/>
  <c r="I30" i="11" s="1"/>
  <c r="K35" i="11"/>
  <c r="K33" i="11"/>
  <c r="K31" i="11"/>
  <c r="K29" i="11"/>
  <c r="K30" i="11" s="1"/>
  <c r="M35" i="11"/>
  <c r="M33" i="11"/>
  <c r="M31" i="11"/>
  <c r="M29" i="11"/>
  <c r="M30" i="11" s="1"/>
  <c r="N35" i="11"/>
  <c r="N33" i="11"/>
  <c r="N31" i="11"/>
  <c r="N29" i="11"/>
  <c r="N30" i="11" s="1"/>
  <c r="P26" i="11"/>
  <c r="E119" i="11" s="1"/>
  <c r="E50" i="11"/>
  <c r="E43" i="11"/>
  <c r="F86" i="9"/>
  <c r="H86" i="9" s="1"/>
  <c r="O70" i="9" s="1"/>
  <c r="H82" i="9"/>
  <c r="I82" i="9"/>
  <c r="L119" i="9" s="1"/>
  <c r="E82" i="9"/>
  <c r="G82" i="9" s="1"/>
  <c r="O69" i="9" s="1"/>
  <c r="G70" i="9"/>
  <c r="N114" i="9"/>
  <c r="D35" i="9"/>
  <c r="D33" i="9"/>
  <c r="D31" i="9"/>
  <c r="D29" i="9"/>
  <c r="D30" i="9" s="1"/>
  <c r="F31" i="9"/>
  <c r="F29" i="9"/>
  <c r="F30" i="9" s="1"/>
  <c r="F35" i="9"/>
  <c r="F33" i="9"/>
  <c r="H28" i="9"/>
  <c r="J31" i="9"/>
  <c r="J29" i="9"/>
  <c r="J30" i="9" s="1"/>
  <c r="J35" i="9"/>
  <c r="J33" i="9"/>
  <c r="L35" i="9"/>
  <c r="L33" i="9"/>
  <c r="L31" i="9"/>
  <c r="L29" i="9"/>
  <c r="L30" i="9" s="1"/>
  <c r="N31" i="9"/>
  <c r="N29" i="9"/>
  <c r="N30" i="9" s="1"/>
  <c r="N35" i="9"/>
  <c r="N33" i="9"/>
  <c r="P26" i="9"/>
  <c r="E101" i="9" s="1"/>
  <c r="E35" i="9"/>
  <c r="E33" i="9"/>
  <c r="G35" i="9"/>
  <c r="G33" i="9"/>
  <c r="I35" i="9"/>
  <c r="I33" i="9"/>
  <c r="K35" i="9"/>
  <c r="K33" i="9"/>
  <c r="M35" i="9"/>
  <c r="M33" i="9"/>
  <c r="E29" i="9"/>
  <c r="E30" i="9" s="1"/>
  <c r="G29" i="9"/>
  <c r="I29" i="9"/>
  <c r="I30" i="9" s="1"/>
  <c r="K29" i="9"/>
  <c r="K30" i="9" s="1"/>
  <c r="M29" i="9"/>
  <c r="M30" i="9" s="1"/>
  <c r="G30" i="9"/>
  <c r="E31" i="9"/>
  <c r="G31" i="9"/>
  <c r="I31" i="9"/>
  <c r="K31" i="9"/>
  <c r="M31" i="9"/>
  <c r="E50" i="9"/>
  <c r="E43" i="9"/>
  <c r="N120" i="8"/>
  <c r="N121" i="8"/>
  <c r="M132" i="8"/>
  <c r="M133" i="8" s="1"/>
  <c r="N131" i="8"/>
  <c r="N122" i="8"/>
  <c r="N123" i="8"/>
  <c r="N124" i="8"/>
  <c r="N125" i="8"/>
  <c r="E121" i="8"/>
  <c r="E77" i="8"/>
  <c r="F77" i="8"/>
  <c r="F79" i="8" s="1"/>
  <c r="G77" i="8"/>
  <c r="G79" i="8" s="1"/>
  <c r="G86" i="8" s="1"/>
  <c r="H77" i="8"/>
  <c r="I77" i="8"/>
  <c r="I79" i="8" s="1"/>
  <c r="J77" i="8"/>
  <c r="J79" i="8" s="1"/>
  <c r="K77" i="8"/>
  <c r="K79" i="8" s="1"/>
  <c r="L77" i="8"/>
  <c r="L79" i="8" s="1"/>
  <c r="M77" i="8"/>
  <c r="M79" i="8" s="1"/>
  <c r="N77" i="8"/>
  <c r="N79" i="8" s="1"/>
  <c r="O77" i="8"/>
  <c r="D77" i="8"/>
  <c r="D79" i="8" s="1"/>
  <c r="E94" i="8"/>
  <c r="E95" i="8" s="1"/>
  <c r="H78" i="8" s="1"/>
  <c r="E79" i="8"/>
  <c r="G73" i="8"/>
  <c r="F73" i="8"/>
  <c r="E73" i="8"/>
  <c r="E106" i="8" s="1"/>
  <c r="L133" i="8"/>
  <c r="L126" i="8"/>
  <c r="E43" i="8"/>
  <c r="F121" i="8" s="1"/>
  <c r="O26" i="8"/>
  <c r="O28" i="8" s="1"/>
  <c r="N26" i="8"/>
  <c r="N28" i="8" s="1"/>
  <c r="M26" i="8"/>
  <c r="M28" i="8" s="1"/>
  <c r="L26" i="8"/>
  <c r="L28" i="8" s="1"/>
  <c r="K26" i="8"/>
  <c r="K28" i="8" s="1"/>
  <c r="J26" i="8"/>
  <c r="J28" i="8" s="1"/>
  <c r="I26" i="8"/>
  <c r="I28" i="8" s="1"/>
  <c r="H26" i="8"/>
  <c r="G26" i="8"/>
  <c r="G28" i="8" s="1"/>
  <c r="F26" i="8"/>
  <c r="F28" i="8" s="1"/>
  <c r="E26" i="8"/>
  <c r="E28" i="8" s="1"/>
  <c r="D26" i="8"/>
  <c r="D28" i="8" s="1"/>
  <c r="G22" i="8"/>
  <c r="F22" i="8"/>
  <c r="E22" i="8"/>
  <c r="E48" i="8" s="1"/>
  <c r="M90" i="5"/>
  <c r="M83" i="5"/>
  <c r="E104" i="5" s="1"/>
  <c r="F84" i="5"/>
  <c r="F79" i="5"/>
  <c r="C59" i="5"/>
  <c r="E77" i="5" s="1"/>
  <c r="F40" i="5"/>
  <c r="F45" i="5" s="1"/>
  <c r="F31" i="5"/>
  <c r="F35" i="13" l="1"/>
  <c r="F33" i="13"/>
  <c r="F34" i="13" s="1"/>
  <c r="F36" i="13" s="1"/>
  <c r="F37" i="13"/>
  <c r="E111" i="11"/>
  <c r="J111" i="11"/>
  <c r="J113" i="11" s="1"/>
  <c r="F49" i="5"/>
  <c r="O71" i="9"/>
  <c r="O76" i="9" s="1"/>
  <c r="O77" i="9" s="1"/>
  <c r="E105" i="9" s="1"/>
  <c r="O109" i="11"/>
  <c r="O111" i="11" s="1"/>
  <c r="O113" i="11" s="1"/>
  <c r="N109" i="11"/>
  <c r="N111" i="11" s="1"/>
  <c r="N113" i="11" s="1"/>
  <c r="F109" i="11"/>
  <c r="F111" i="11" s="1"/>
  <c r="F113" i="11" s="1"/>
  <c r="F78" i="12"/>
  <c r="R76" i="12"/>
  <c r="E124" i="12"/>
  <c r="F80" i="12"/>
  <c r="F83" i="12" s="1"/>
  <c r="G68" i="12"/>
  <c r="G69" i="12" s="1"/>
  <c r="I109" i="11"/>
  <c r="I111" i="11" s="1"/>
  <c r="I113" i="11" s="1"/>
  <c r="K109" i="11"/>
  <c r="K111" i="11" s="1"/>
  <c r="K113" i="11" s="1"/>
  <c r="P109" i="11"/>
  <c r="P111" i="11" s="1"/>
  <c r="P113" i="11" s="1"/>
  <c r="L109" i="11"/>
  <c r="L111" i="11" s="1"/>
  <c r="L113" i="11" s="1"/>
  <c r="H109" i="11"/>
  <c r="H111" i="11" s="1"/>
  <c r="H113" i="11" s="1"/>
  <c r="M109" i="11"/>
  <c r="M111" i="11" s="1"/>
  <c r="M113" i="11" s="1"/>
  <c r="G109" i="11"/>
  <c r="G111" i="11" s="1"/>
  <c r="G113" i="11" s="1"/>
  <c r="E113" i="11"/>
  <c r="G79" i="11"/>
  <c r="G82" i="11" s="1"/>
  <c r="H68" i="11"/>
  <c r="H69" i="11" s="1"/>
  <c r="H79" i="11" s="1"/>
  <c r="H82" i="11" s="1"/>
  <c r="G32" i="11"/>
  <c r="G34" i="11" s="1"/>
  <c r="G36" i="11" s="1"/>
  <c r="F79" i="11"/>
  <c r="F82" i="11" s="1"/>
  <c r="R75" i="11"/>
  <c r="F77" i="11"/>
  <c r="E32" i="11"/>
  <c r="E34" i="11" s="1"/>
  <c r="E36" i="11" s="1"/>
  <c r="L32" i="11"/>
  <c r="L34" i="11" s="1"/>
  <c r="L36" i="11" s="1"/>
  <c r="H32" i="11"/>
  <c r="H34" i="11" s="1"/>
  <c r="H36" i="11" s="1"/>
  <c r="N32" i="11"/>
  <c r="N34" i="11" s="1"/>
  <c r="N36" i="11" s="1"/>
  <c r="M32" i="11"/>
  <c r="M34" i="11" s="1"/>
  <c r="M36" i="11" s="1"/>
  <c r="K32" i="11"/>
  <c r="K34" i="11" s="1"/>
  <c r="K36" i="11" s="1"/>
  <c r="F32" i="11"/>
  <c r="F34" i="11" s="1"/>
  <c r="F36" i="11" s="1"/>
  <c r="D32" i="11"/>
  <c r="D34" i="11" s="1"/>
  <c r="D36" i="11" s="1"/>
  <c r="I32" i="11"/>
  <c r="I34" i="11" s="1"/>
  <c r="I36" i="11" s="1"/>
  <c r="J32" i="11"/>
  <c r="J34" i="11" s="1"/>
  <c r="J36" i="11" s="1"/>
  <c r="E45" i="11"/>
  <c r="F122" i="11" s="1"/>
  <c r="E122" i="11"/>
  <c r="E121" i="11"/>
  <c r="E52" i="11"/>
  <c r="F121" i="11" s="1"/>
  <c r="F126" i="11" s="1"/>
  <c r="E139" i="11" s="1"/>
  <c r="F32" i="9"/>
  <c r="F34" i="9" s="1"/>
  <c r="F36" i="9" s="1"/>
  <c r="D32" i="9"/>
  <c r="D34" i="9" s="1"/>
  <c r="D36" i="9" s="1"/>
  <c r="M32" i="9"/>
  <c r="M34" i="9" s="1"/>
  <c r="M36" i="9" s="1"/>
  <c r="I32" i="9"/>
  <c r="I34" i="9" s="1"/>
  <c r="I36" i="9" s="1"/>
  <c r="N32" i="9"/>
  <c r="N34" i="9" s="1"/>
  <c r="N36" i="9" s="1"/>
  <c r="L32" i="9"/>
  <c r="L34" i="9" s="1"/>
  <c r="L36" i="9" s="1"/>
  <c r="G32" i="9"/>
  <c r="G34" i="9" s="1"/>
  <c r="G36" i="9" s="1"/>
  <c r="J32" i="9"/>
  <c r="J34" i="9" s="1"/>
  <c r="J36" i="9" s="1"/>
  <c r="K32" i="9"/>
  <c r="K34" i="9" s="1"/>
  <c r="K36" i="9" s="1"/>
  <c r="E32" i="9"/>
  <c r="E34" i="9" s="1"/>
  <c r="E36" i="9" s="1"/>
  <c r="E103" i="9"/>
  <c r="E52" i="9"/>
  <c r="F103" i="9" s="1"/>
  <c r="E45" i="9"/>
  <c r="F104" i="9" s="1"/>
  <c r="E104" i="9"/>
  <c r="E46" i="9"/>
  <c r="H35" i="9"/>
  <c r="H33" i="9"/>
  <c r="H31" i="9"/>
  <c r="H29" i="9"/>
  <c r="H30" i="9" s="1"/>
  <c r="N132" i="8"/>
  <c r="H79" i="8"/>
  <c r="H86" i="8" s="1"/>
  <c r="M126" i="8"/>
  <c r="N126" i="8"/>
  <c r="N133" i="8"/>
  <c r="E99" i="8"/>
  <c r="E123" i="8" s="1"/>
  <c r="E86" i="8"/>
  <c r="E84" i="8"/>
  <c r="E82" i="8"/>
  <c r="E80" i="8"/>
  <c r="E81" i="8" s="1"/>
  <c r="I86" i="8"/>
  <c r="I84" i="8"/>
  <c r="I82" i="8"/>
  <c r="I80" i="8"/>
  <c r="I81" i="8" s="1"/>
  <c r="M86" i="8"/>
  <c r="M84" i="8"/>
  <c r="M82" i="8"/>
  <c r="M80" i="8"/>
  <c r="M81" i="8" s="1"/>
  <c r="D86" i="8"/>
  <c r="D84" i="8"/>
  <c r="D82" i="8"/>
  <c r="D80" i="8"/>
  <c r="D81" i="8" s="1"/>
  <c r="F86" i="8"/>
  <c r="F84" i="8"/>
  <c r="F82" i="8"/>
  <c r="F80" i="8"/>
  <c r="F81" i="8" s="1"/>
  <c r="J86" i="8"/>
  <c r="J84" i="8"/>
  <c r="J82" i="8"/>
  <c r="J80" i="8"/>
  <c r="J81" i="8" s="1"/>
  <c r="L86" i="8"/>
  <c r="L84" i="8"/>
  <c r="L82" i="8"/>
  <c r="L80" i="8"/>
  <c r="L81" i="8" s="1"/>
  <c r="N86" i="8"/>
  <c r="N84" i="8"/>
  <c r="N82" i="8"/>
  <c r="N80" i="8"/>
  <c r="N81" i="8" s="1"/>
  <c r="K86" i="8"/>
  <c r="K84" i="8"/>
  <c r="G80" i="8"/>
  <c r="G81" i="8" s="1"/>
  <c r="K80" i="8"/>
  <c r="K81" i="8" s="1"/>
  <c r="G82" i="8"/>
  <c r="K82" i="8"/>
  <c r="G84" i="8"/>
  <c r="P77" i="8"/>
  <c r="E31" i="8"/>
  <c r="E29" i="8"/>
  <c r="E30" i="8" s="1"/>
  <c r="E35" i="8"/>
  <c r="E33" i="8"/>
  <c r="G35" i="8"/>
  <c r="G33" i="8"/>
  <c r="G31" i="8"/>
  <c r="G29" i="8"/>
  <c r="G30" i="8" s="1"/>
  <c r="I31" i="8"/>
  <c r="I29" i="8"/>
  <c r="I30" i="8" s="1"/>
  <c r="I35" i="8"/>
  <c r="I33" i="8"/>
  <c r="K35" i="8"/>
  <c r="K33" i="8"/>
  <c r="K31" i="8"/>
  <c r="K29" i="8"/>
  <c r="K30" i="8" s="1"/>
  <c r="M31" i="8"/>
  <c r="M29" i="8"/>
  <c r="M30" i="8" s="1"/>
  <c r="M35" i="8"/>
  <c r="M33" i="8"/>
  <c r="O35" i="8"/>
  <c r="O33" i="8"/>
  <c r="O31" i="8"/>
  <c r="O29" i="8"/>
  <c r="O30" i="8" s="1"/>
  <c r="D35" i="8"/>
  <c r="D33" i="8"/>
  <c r="D31" i="8"/>
  <c r="D29" i="8"/>
  <c r="D30" i="8" s="1"/>
  <c r="F35" i="8"/>
  <c r="F33" i="8"/>
  <c r="F31" i="8"/>
  <c r="F29" i="8"/>
  <c r="F30" i="8" s="1"/>
  <c r="J35" i="8"/>
  <c r="J33" i="8"/>
  <c r="J31" i="8"/>
  <c r="J29" i="8"/>
  <c r="J30" i="8" s="1"/>
  <c r="L35" i="8"/>
  <c r="L33" i="8"/>
  <c r="L31" i="8"/>
  <c r="L29" i="8"/>
  <c r="L30" i="8" s="1"/>
  <c r="N35" i="8"/>
  <c r="N33" i="8"/>
  <c r="N31" i="8"/>
  <c r="N29" i="8"/>
  <c r="N30" i="8" s="1"/>
  <c r="P26" i="8"/>
  <c r="E55" i="8"/>
  <c r="E122" i="8" s="1"/>
  <c r="E44" i="8"/>
  <c r="H27" i="8" s="1"/>
  <c r="H28" i="8" s="1"/>
  <c r="F33" i="5"/>
  <c r="F36" i="5" s="1"/>
  <c r="D57" i="5" s="1"/>
  <c r="F41" i="5"/>
  <c r="F43" i="5" s="1"/>
  <c r="F46" i="5" s="1"/>
  <c r="F47" i="5" s="1"/>
  <c r="F38" i="13" l="1"/>
  <c r="F40" i="13" s="1"/>
  <c r="F44" i="13" s="1"/>
  <c r="E36" i="13"/>
  <c r="E38" i="13" s="1"/>
  <c r="E40" i="13" s="1"/>
  <c r="E44" i="13" s="1"/>
  <c r="F52" i="5"/>
  <c r="D58" i="5" s="1"/>
  <c r="E58" i="5" s="1"/>
  <c r="H80" i="8"/>
  <c r="H81" i="8" s="1"/>
  <c r="H84" i="8"/>
  <c r="Q111" i="11"/>
  <c r="E46" i="11"/>
  <c r="F107" i="12"/>
  <c r="F88" i="12"/>
  <c r="F86" i="12"/>
  <c r="F84" i="12"/>
  <c r="F85" i="12" s="1"/>
  <c r="F92" i="12"/>
  <c r="G77" i="12"/>
  <c r="G78" i="12" s="1"/>
  <c r="H68" i="12"/>
  <c r="H69" i="12" s="1"/>
  <c r="G80" i="12"/>
  <c r="G83" i="12" s="1"/>
  <c r="Q113" i="11"/>
  <c r="L145" i="11" s="1"/>
  <c r="I68" i="11"/>
  <c r="I69" i="11" s="1"/>
  <c r="I79" i="11" s="1"/>
  <c r="I82" i="11" s="1"/>
  <c r="G85" i="11"/>
  <c r="G87" i="11"/>
  <c r="G83" i="11"/>
  <c r="G84" i="11" s="1"/>
  <c r="H87" i="11"/>
  <c r="H83" i="11"/>
  <c r="H84" i="11" s="1"/>
  <c r="H85" i="11"/>
  <c r="F91" i="11"/>
  <c r="G76" i="11"/>
  <c r="G77" i="11" s="1"/>
  <c r="F87" i="11"/>
  <c r="F83" i="11"/>
  <c r="F84" i="11" s="1"/>
  <c r="F85" i="11"/>
  <c r="E53" i="11"/>
  <c r="O27" i="11" s="1"/>
  <c r="O28" i="11" s="1"/>
  <c r="E108" i="9"/>
  <c r="E118" i="9" s="1"/>
  <c r="H32" i="9"/>
  <c r="H34" i="9" s="1"/>
  <c r="H36" i="9" s="1"/>
  <c r="F108" i="9"/>
  <c r="E119" i="9" s="1"/>
  <c r="E53" i="9"/>
  <c r="O27" i="9" s="1"/>
  <c r="O28" i="9" s="1"/>
  <c r="I32" i="8"/>
  <c r="I34" i="8" s="1"/>
  <c r="I36" i="8" s="1"/>
  <c r="H82" i="8"/>
  <c r="H83" i="8" s="1"/>
  <c r="H85" i="8" s="1"/>
  <c r="H87" i="8" s="1"/>
  <c r="E120" i="8"/>
  <c r="N83" i="8"/>
  <c r="N85" i="8" s="1"/>
  <c r="N87" i="8" s="1"/>
  <c r="F83" i="8"/>
  <c r="F85" i="8" s="1"/>
  <c r="F87" i="8" s="1"/>
  <c r="D83" i="8"/>
  <c r="D85" i="8" s="1"/>
  <c r="D87" i="8" s="1"/>
  <c r="M83" i="8"/>
  <c r="M85" i="8" s="1"/>
  <c r="M87" i="8" s="1"/>
  <c r="E83" i="8"/>
  <c r="E85" i="8" s="1"/>
  <c r="E87" i="8" s="1"/>
  <c r="L83" i="8"/>
  <c r="L85" i="8" s="1"/>
  <c r="L87" i="8" s="1"/>
  <c r="J83" i="8"/>
  <c r="J85" i="8" s="1"/>
  <c r="J87" i="8" s="1"/>
  <c r="G83" i="8"/>
  <c r="G85" i="8" s="1"/>
  <c r="G87" i="8" s="1"/>
  <c r="K83" i="8"/>
  <c r="K85" i="8" s="1"/>
  <c r="K87" i="8" s="1"/>
  <c r="I83" i="8"/>
  <c r="I85" i="8" s="1"/>
  <c r="I87" i="8" s="1"/>
  <c r="E108" i="8"/>
  <c r="E101" i="8"/>
  <c r="G32" i="8"/>
  <c r="G34" i="8" s="1"/>
  <c r="G36" i="8" s="1"/>
  <c r="E32" i="8"/>
  <c r="E34" i="8" s="1"/>
  <c r="E36" i="8" s="1"/>
  <c r="N32" i="8"/>
  <c r="N34" i="8" s="1"/>
  <c r="N36" i="8" s="1"/>
  <c r="L32" i="8"/>
  <c r="L34" i="8" s="1"/>
  <c r="L36" i="8" s="1"/>
  <c r="D32" i="8"/>
  <c r="D34" i="8" s="1"/>
  <c r="D36" i="8" s="1"/>
  <c r="O32" i="8"/>
  <c r="O34" i="8" s="1"/>
  <c r="O36" i="8" s="1"/>
  <c r="M32" i="8"/>
  <c r="M34" i="8" s="1"/>
  <c r="M36" i="8" s="1"/>
  <c r="J32" i="8"/>
  <c r="J34" i="8" s="1"/>
  <c r="J36" i="8" s="1"/>
  <c r="F32" i="8"/>
  <c r="F34" i="8" s="1"/>
  <c r="F36" i="8" s="1"/>
  <c r="K32" i="8"/>
  <c r="K34" i="8" s="1"/>
  <c r="K36" i="8" s="1"/>
  <c r="H35" i="8"/>
  <c r="P35" i="8" s="1"/>
  <c r="H33" i="8"/>
  <c r="H31" i="8"/>
  <c r="H29" i="8"/>
  <c r="H30" i="8" s="1"/>
  <c r="E50" i="8"/>
  <c r="E57" i="8"/>
  <c r="E126" i="8"/>
  <c r="G58" i="5"/>
  <c r="J58" i="5"/>
  <c r="D59" i="5"/>
  <c r="E57" i="5"/>
  <c r="J57" i="5" s="1"/>
  <c r="G86" i="11" l="1"/>
  <c r="F87" i="12"/>
  <c r="F89" i="12" s="1"/>
  <c r="F91" i="12" s="1"/>
  <c r="F94" i="12" s="1"/>
  <c r="G90" i="12" s="1"/>
  <c r="G88" i="12"/>
  <c r="G86" i="12"/>
  <c r="G84" i="12"/>
  <c r="G85" i="12" s="1"/>
  <c r="H77" i="12"/>
  <c r="H78" i="12" s="1"/>
  <c r="G92" i="12"/>
  <c r="H80" i="12"/>
  <c r="H83" i="12" s="1"/>
  <c r="I68" i="12"/>
  <c r="I69" i="12" s="1"/>
  <c r="J68" i="11"/>
  <c r="J69" i="11" s="1"/>
  <c r="K68" i="11" s="1"/>
  <c r="K69" i="11" s="1"/>
  <c r="G88" i="11"/>
  <c r="F86" i="11"/>
  <c r="F88" i="11" s="1"/>
  <c r="F90" i="11" s="1"/>
  <c r="F93" i="11" s="1"/>
  <c r="G89" i="11" s="1"/>
  <c r="G91" i="11"/>
  <c r="H76" i="11"/>
  <c r="H77" i="11" s="1"/>
  <c r="I85" i="11"/>
  <c r="I87" i="11"/>
  <c r="I83" i="11"/>
  <c r="I84" i="11" s="1"/>
  <c r="H86" i="11"/>
  <c r="H88" i="11" s="1"/>
  <c r="J79" i="11"/>
  <c r="J82" i="11" s="1"/>
  <c r="O35" i="11"/>
  <c r="P35" i="11" s="1"/>
  <c r="O33" i="11"/>
  <c r="O31" i="11"/>
  <c r="O29" i="11"/>
  <c r="O30" i="11" s="1"/>
  <c r="E120" i="9"/>
  <c r="E122" i="9" s="1"/>
  <c r="E110" i="9"/>
  <c r="E113" i="9" s="1"/>
  <c r="O35" i="9"/>
  <c r="P35" i="9" s="1"/>
  <c r="E131" i="9" s="1"/>
  <c r="O33" i="9"/>
  <c r="O31" i="9"/>
  <c r="O29" i="9"/>
  <c r="O30" i="9" s="1"/>
  <c r="E102" i="8"/>
  <c r="F123" i="8"/>
  <c r="F126" i="8" s="1"/>
  <c r="E137" i="8" s="1"/>
  <c r="L146" i="8"/>
  <c r="E149" i="8" s="1"/>
  <c r="E109" i="8"/>
  <c r="O78" i="8" s="1"/>
  <c r="O79" i="8" s="1"/>
  <c r="O80" i="8" s="1"/>
  <c r="O81" i="8" s="1"/>
  <c r="F122" i="8"/>
  <c r="H32" i="8"/>
  <c r="H34" i="8" s="1"/>
  <c r="H36" i="8" s="1"/>
  <c r="P36" i="8" s="1"/>
  <c r="E136" i="8"/>
  <c r="E128" i="8"/>
  <c r="E131" i="8" s="1"/>
  <c r="E141" i="8" s="1"/>
  <c r="E58" i="8"/>
  <c r="E51" i="8"/>
  <c r="J59" i="5"/>
  <c r="E59" i="5"/>
  <c r="L117" i="5" s="1"/>
  <c r="L119" i="5" s="1"/>
  <c r="G57" i="5"/>
  <c r="O86" i="8" l="1"/>
  <c r="P86" i="8" s="1"/>
  <c r="E79" i="5"/>
  <c r="F81" i="5" s="1"/>
  <c r="D89" i="5"/>
  <c r="E99" i="5" s="1"/>
  <c r="E101" i="5" s="1"/>
  <c r="G87" i="12"/>
  <c r="G89" i="12" s="1"/>
  <c r="H88" i="12"/>
  <c r="H86" i="12"/>
  <c r="H84" i="12"/>
  <c r="H85" i="12" s="1"/>
  <c r="J68" i="12"/>
  <c r="J69" i="12" s="1"/>
  <c r="I80" i="12"/>
  <c r="I83" i="12" s="1"/>
  <c r="H92" i="12"/>
  <c r="I77" i="12"/>
  <c r="I78" i="12" s="1"/>
  <c r="G90" i="11"/>
  <c r="G93" i="11" s="1"/>
  <c r="H89" i="11" s="1"/>
  <c r="J87" i="11"/>
  <c r="J83" i="11"/>
  <c r="J84" i="11" s="1"/>
  <c r="J85" i="11"/>
  <c r="H91" i="11"/>
  <c r="I76" i="11"/>
  <c r="I77" i="11" s="1"/>
  <c r="I86" i="11"/>
  <c r="I88" i="11" s="1"/>
  <c r="K79" i="11"/>
  <c r="K82" i="11" s="1"/>
  <c r="L68" i="11"/>
  <c r="L69" i="11" s="1"/>
  <c r="O32" i="11"/>
  <c r="O34" i="11" s="1"/>
  <c r="O36" i="11" s="1"/>
  <c r="P36" i="11" s="1"/>
  <c r="L136" i="11" s="1"/>
  <c r="N126" i="11"/>
  <c r="E143" i="11" s="1"/>
  <c r="M105" i="9"/>
  <c r="O32" i="9"/>
  <c r="O34" i="9" s="1"/>
  <c r="O36" i="9" s="1"/>
  <c r="P36" i="9" s="1"/>
  <c r="L118" i="9" s="1"/>
  <c r="L121" i="9" s="1"/>
  <c r="E132" i="9" s="1"/>
  <c r="O82" i="8"/>
  <c r="O83" i="8" s="1"/>
  <c r="E138" i="8"/>
  <c r="E140" i="8" s="1"/>
  <c r="E142" i="8" s="1"/>
  <c r="E143" i="8" s="1"/>
  <c r="E144" i="8" s="1"/>
  <c r="O84" i="8"/>
  <c r="G59" i="5"/>
  <c r="E145" i="8" l="1"/>
  <c r="E146" i="8" s="1"/>
  <c r="E147" i="8"/>
  <c r="H90" i="11"/>
  <c r="H93" i="11" s="1"/>
  <c r="I89" i="11" s="1"/>
  <c r="I90" i="11" s="1"/>
  <c r="I93" i="11" s="1"/>
  <c r="J89" i="11" s="1"/>
  <c r="O85" i="8"/>
  <c r="O87" i="8" s="1"/>
  <c r="P87" i="8" s="1"/>
  <c r="L140" i="8" s="1"/>
  <c r="L143" i="8" s="1"/>
  <c r="E150" i="8" s="1"/>
  <c r="G91" i="12"/>
  <c r="G94" i="12" s="1"/>
  <c r="H90" i="12" s="1"/>
  <c r="H87" i="12"/>
  <c r="H89" i="12" s="1"/>
  <c r="I92" i="12"/>
  <c r="J77" i="12"/>
  <c r="J78" i="12" s="1"/>
  <c r="I88" i="12"/>
  <c r="I86" i="12"/>
  <c r="I84" i="12"/>
  <c r="I85" i="12" s="1"/>
  <c r="J80" i="12"/>
  <c r="J83" i="12" s="1"/>
  <c r="K68" i="12"/>
  <c r="K69" i="12" s="1"/>
  <c r="J76" i="11"/>
  <c r="J77" i="11" s="1"/>
  <c r="I91" i="11"/>
  <c r="K85" i="11"/>
  <c r="K87" i="11"/>
  <c r="K83" i="11"/>
  <c r="K84" i="11" s="1"/>
  <c r="J86" i="11"/>
  <c r="J88" i="11" s="1"/>
  <c r="L79" i="11"/>
  <c r="L82" i="11" s="1"/>
  <c r="M68" i="11"/>
  <c r="M69" i="11" s="1"/>
  <c r="M108" i="9"/>
  <c r="N105" i="9"/>
  <c r="N108" i="9" s="1"/>
  <c r="E123" i="9" s="1"/>
  <c r="E124" i="9" s="1"/>
  <c r="E62" i="5"/>
  <c r="D90" i="5"/>
  <c r="D93" i="5" s="1"/>
  <c r="E148" i="8" l="1"/>
  <c r="E151" i="8" s="1"/>
  <c r="H91" i="12"/>
  <c r="I87" i="12"/>
  <c r="I89" i="12" s="1"/>
  <c r="L68" i="12"/>
  <c r="L69" i="12" s="1"/>
  <c r="K80" i="12"/>
  <c r="K83" i="12" s="1"/>
  <c r="J88" i="12"/>
  <c r="J86" i="12"/>
  <c r="J84" i="12"/>
  <c r="J85" i="12" s="1"/>
  <c r="J92" i="12"/>
  <c r="K77" i="12"/>
  <c r="K78" i="12" s="1"/>
  <c r="J91" i="11"/>
  <c r="K76" i="11"/>
  <c r="K77" i="11" s="1"/>
  <c r="L87" i="11"/>
  <c r="L83" i="11"/>
  <c r="L85" i="11"/>
  <c r="K86" i="11"/>
  <c r="K88" i="11" s="1"/>
  <c r="J90" i="11"/>
  <c r="M79" i="11"/>
  <c r="M82" i="11" s="1"/>
  <c r="N68" i="11"/>
  <c r="N69" i="11" s="1"/>
  <c r="L84" i="11"/>
  <c r="E127" i="9"/>
  <c r="E129" i="9"/>
  <c r="E125" i="9"/>
  <c r="E126" i="9" s="1"/>
  <c r="E128" i="9" s="1"/>
  <c r="D91" i="5"/>
  <c r="D94" i="5" s="1"/>
  <c r="L106" i="5" s="1"/>
  <c r="E63" i="5"/>
  <c r="E64" i="5" s="1"/>
  <c r="E65" i="5"/>
  <c r="E67" i="5"/>
  <c r="E71" i="5"/>
  <c r="E102" i="5" l="1"/>
  <c r="E103" i="5" s="1"/>
  <c r="E105" i="5" s="1"/>
  <c r="E110" i="5" s="1"/>
  <c r="L120" i="5"/>
  <c r="L121" i="5" s="1"/>
  <c r="L123" i="5" s="1"/>
  <c r="J93" i="11"/>
  <c r="K89" i="11" s="1"/>
  <c r="K90" i="11" s="1"/>
  <c r="K93" i="11" s="1"/>
  <c r="L89" i="11" s="1"/>
  <c r="H94" i="12"/>
  <c r="I90" i="12" s="1"/>
  <c r="I91" i="12" s="1"/>
  <c r="I94" i="12" s="1"/>
  <c r="J90" i="12" s="1"/>
  <c r="J87" i="12"/>
  <c r="J89" i="12" s="1"/>
  <c r="L77" i="12"/>
  <c r="L78" i="12" s="1"/>
  <c r="K92" i="12"/>
  <c r="K88" i="12"/>
  <c r="K86" i="12"/>
  <c r="K84" i="12"/>
  <c r="K85" i="12" s="1"/>
  <c r="L80" i="12"/>
  <c r="L83" i="12" s="1"/>
  <c r="M68" i="12"/>
  <c r="M69" i="12" s="1"/>
  <c r="M85" i="11"/>
  <c r="M87" i="11"/>
  <c r="M83" i="11"/>
  <c r="M84" i="11" s="1"/>
  <c r="K91" i="11"/>
  <c r="L76" i="11"/>
  <c r="L77" i="11" s="1"/>
  <c r="L86" i="11"/>
  <c r="L88" i="11" s="1"/>
  <c r="N79" i="11"/>
  <c r="N82" i="11" s="1"/>
  <c r="O68" i="11"/>
  <c r="O69" i="11" s="1"/>
  <c r="E130" i="9"/>
  <c r="E133" i="9" s="1"/>
  <c r="E66" i="5"/>
  <c r="E68" i="5" s="1"/>
  <c r="E70" i="5" s="1"/>
  <c r="E72" i="5" s="1"/>
  <c r="H58" i="5" s="1"/>
  <c r="I58" i="5" s="1"/>
  <c r="K58" i="5" s="1"/>
  <c r="E106" i="5"/>
  <c r="E107" i="5" s="1"/>
  <c r="E108" i="5"/>
  <c r="L126" i="5" l="1"/>
  <c r="L101" i="5"/>
  <c r="L124" i="5"/>
  <c r="L125" i="5" s="1"/>
  <c r="L127" i="5" s="1"/>
  <c r="L128" i="5"/>
  <c r="H57" i="5"/>
  <c r="I57" i="5" s="1"/>
  <c r="I59" i="5" s="1"/>
  <c r="J91" i="12"/>
  <c r="J94" i="12" s="1"/>
  <c r="K90" i="12" s="1"/>
  <c r="K87" i="12"/>
  <c r="K89" i="12" s="1"/>
  <c r="L88" i="12"/>
  <c r="L86" i="12"/>
  <c r="L84" i="12"/>
  <c r="L85" i="12" s="1"/>
  <c r="L92" i="12"/>
  <c r="M77" i="12"/>
  <c r="M78" i="12" s="1"/>
  <c r="N68" i="12"/>
  <c r="N69" i="12" s="1"/>
  <c r="M80" i="12"/>
  <c r="M83" i="12" s="1"/>
  <c r="L91" i="11"/>
  <c r="M76" i="11"/>
  <c r="M77" i="11" s="1"/>
  <c r="N87" i="11"/>
  <c r="N83" i="11"/>
  <c r="N84" i="11" s="1"/>
  <c r="N85" i="11"/>
  <c r="M86" i="11"/>
  <c r="M88" i="11" s="1"/>
  <c r="L90" i="11"/>
  <c r="O79" i="11"/>
  <c r="O82" i="11" s="1"/>
  <c r="P68" i="11"/>
  <c r="P69" i="11" s="1"/>
  <c r="E109" i="5"/>
  <c r="E111" i="5" s="1"/>
  <c r="E117" i="5" s="1"/>
  <c r="K57" i="5"/>
  <c r="K59" i="5" s="1"/>
  <c r="L93" i="11" l="1"/>
  <c r="M89" i="11" s="1"/>
  <c r="L129" i="5"/>
  <c r="L100" i="5" s="1"/>
  <c r="L102" i="5" s="1"/>
  <c r="F85" i="5"/>
  <c r="E120" i="5"/>
  <c r="L87" i="12"/>
  <c r="L89" i="12" s="1"/>
  <c r="M88" i="12"/>
  <c r="M86" i="12"/>
  <c r="M84" i="12"/>
  <c r="M85" i="12" s="1"/>
  <c r="N80" i="12"/>
  <c r="N83" i="12" s="1"/>
  <c r="O68" i="12"/>
  <c r="O69" i="12" s="1"/>
  <c r="M92" i="12"/>
  <c r="N77" i="12"/>
  <c r="N78" i="12" s="1"/>
  <c r="O85" i="11"/>
  <c r="O87" i="11"/>
  <c r="O83" i="11"/>
  <c r="O84" i="11" s="1"/>
  <c r="M91" i="11"/>
  <c r="N76" i="11"/>
  <c r="N77" i="11" s="1"/>
  <c r="M90" i="11"/>
  <c r="N86" i="11"/>
  <c r="N88" i="11" s="1"/>
  <c r="P79" i="11"/>
  <c r="P82" i="11" s="1"/>
  <c r="Q68" i="11"/>
  <c r="Q69" i="11" s="1"/>
  <c r="L104" i="5" l="1"/>
  <c r="L107" i="5"/>
  <c r="M93" i="11"/>
  <c r="N89" i="11" s="1"/>
  <c r="N90" i="11" s="1"/>
  <c r="Q79" i="11"/>
  <c r="Q82" i="11" s="1"/>
  <c r="E138" i="11" s="1"/>
  <c r="E123" i="11"/>
  <c r="E126" i="11" s="1"/>
  <c r="L108" i="5"/>
  <c r="E118" i="5" s="1"/>
  <c r="E119" i="5" s="1"/>
  <c r="E121" i="5" s="1"/>
  <c r="M87" i="12"/>
  <c r="M89" i="12" s="1"/>
  <c r="N88" i="12"/>
  <c r="N86" i="12"/>
  <c r="N84" i="12"/>
  <c r="N85" i="12" s="1"/>
  <c r="N92" i="12"/>
  <c r="O77" i="12"/>
  <c r="O78" i="12" s="1"/>
  <c r="P68" i="12"/>
  <c r="P69" i="12" s="1"/>
  <c r="O80" i="12"/>
  <c r="O83" i="12" s="1"/>
  <c r="K91" i="12"/>
  <c r="K94" i="12" s="1"/>
  <c r="L90" i="12" s="1"/>
  <c r="Q85" i="11"/>
  <c r="N91" i="11"/>
  <c r="O76" i="11"/>
  <c r="O77" i="11" s="1"/>
  <c r="P87" i="11"/>
  <c r="P83" i="11"/>
  <c r="P84" i="11" s="1"/>
  <c r="P85" i="11"/>
  <c r="O86" i="11"/>
  <c r="O88" i="11" s="1"/>
  <c r="Q83" i="11" l="1"/>
  <c r="Q84" i="11" s="1"/>
  <c r="Q86" i="11" s="1"/>
  <c r="Q88" i="11" s="1"/>
  <c r="Q87" i="11"/>
  <c r="E136" i="11"/>
  <c r="E140" i="11" s="1"/>
  <c r="E142" i="11" s="1"/>
  <c r="E128" i="11"/>
  <c r="E131" i="11" s="1"/>
  <c r="N87" i="12"/>
  <c r="N89" i="12" s="1"/>
  <c r="P80" i="12"/>
  <c r="P83" i="12" s="1"/>
  <c r="Q68" i="12"/>
  <c r="Q69" i="12" s="1"/>
  <c r="O88" i="12"/>
  <c r="O86" i="12"/>
  <c r="O84" i="12"/>
  <c r="O85" i="12" s="1"/>
  <c r="P77" i="12"/>
  <c r="P78" i="12" s="1"/>
  <c r="O92" i="12"/>
  <c r="N93" i="11"/>
  <c r="O89" i="11" s="1"/>
  <c r="O90" i="11" s="1"/>
  <c r="O91" i="11"/>
  <c r="P76" i="11"/>
  <c r="P77" i="11" s="1"/>
  <c r="P86" i="11"/>
  <c r="P88" i="11" s="1"/>
  <c r="M123" i="11" l="1"/>
  <c r="M126" i="11" s="1"/>
  <c r="E144" i="11"/>
  <c r="O87" i="12"/>
  <c r="O89" i="12" s="1"/>
  <c r="P92" i="12"/>
  <c r="Q77" i="12"/>
  <c r="Q78" i="12" s="1"/>
  <c r="L118" i="12" s="1"/>
  <c r="P88" i="12"/>
  <c r="P86" i="12"/>
  <c r="P84" i="12"/>
  <c r="P85" i="12" s="1"/>
  <c r="E107" i="12"/>
  <c r="Q80" i="12"/>
  <c r="Q83" i="12" s="1"/>
  <c r="L91" i="12"/>
  <c r="L94" i="12" s="1"/>
  <c r="M90" i="12" s="1"/>
  <c r="Q76" i="11"/>
  <c r="Q77" i="11" s="1"/>
  <c r="P91" i="11"/>
  <c r="O93" i="11"/>
  <c r="P89" i="11" s="1"/>
  <c r="E149" i="11" l="1"/>
  <c r="E145" i="11"/>
  <c r="E146" i="11" s="1"/>
  <c r="E147" i="11"/>
  <c r="Q91" i="11"/>
  <c r="L137" i="11"/>
  <c r="L139" i="11" s="1"/>
  <c r="E152" i="11" s="1"/>
  <c r="P90" i="11"/>
  <c r="P93" i="11" s="1"/>
  <c r="Q89" i="11" s="1"/>
  <c r="Q90" i="11" s="1"/>
  <c r="P87" i="12"/>
  <c r="P89" i="12" s="1"/>
  <c r="E119" i="12"/>
  <c r="E121" i="12" s="1"/>
  <c r="E123" i="12" s="1"/>
  <c r="Q88" i="12"/>
  <c r="Q86" i="12"/>
  <c r="Q84" i="12"/>
  <c r="Q85" i="12" s="1"/>
  <c r="E109" i="12"/>
  <c r="E112" i="12" s="1"/>
  <c r="L120" i="12"/>
  <c r="E132" i="12" s="1"/>
  <c r="Q92" i="12"/>
  <c r="Q93" i="11" l="1"/>
  <c r="R93" i="11" s="1"/>
  <c r="L144" i="11" s="1"/>
  <c r="L146" i="11" s="1"/>
  <c r="E148" i="11"/>
  <c r="E150" i="11" s="1"/>
  <c r="E153" i="11" s="1"/>
  <c r="Q87" i="12"/>
  <c r="Q89" i="12" s="1"/>
  <c r="M91" i="12"/>
  <c r="M94" i="12" s="1"/>
  <c r="N90" i="12" s="1"/>
  <c r="E125" i="12"/>
  <c r="M104" i="12"/>
  <c r="M107" i="12" s="1"/>
  <c r="E130" i="12" l="1"/>
  <c r="E128" i="12"/>
  <c r="E126" i="12"/>
  <c r="E127" i="12" s="1"/>
  <c r="E129" i="12" l="1"/>
  <c r="E131" i="12" s="1"/>
  <c r="N91" i="12"/>
  <c r="N94" i="12" s="1"/>
  <c r="O90" i="12" s="1"/>
  <c r="O91" i="12" l="1"/>
  <c r="O94" i="12" s="1"/>
  <c r="P90" i="12" s="1"/>
  <c r="P91" i="12" l="1"/>
  <c r="P94" i="12" s="1"/>
  <c r="Q90" i="12" s="1"/>
  <c r="Q91" i="12" l="1"/>
  <c r="Q94" i="12" s="1"/>
  <c r="R94" i="12" s="1"/>
  <c r="L125" i="12" l="1"/>
  <c r="L127" i="12" s="1"/>
  <c r="E133" i="12" s="1"/>
  <c r="E134" i="12" s="1"/>
  <c r="L110" i="1"/>
  <c r="L104" i="1"/>
  <c r="E103" i="1"/>
  <c r="E99" i="1"/>
  <c r="P80" i="1"/>
  <c r="K83" i="1"/>
  <c r="K81" i="1"/>
  <c r="K79" i="1"/>
  <c r="K80" i="1" s="1"/>
  <c r="K82" i="1" l="1"/>
  <c r="K84" i="1" s="1"/>
  <c r="E85" i="1" l="1"/>
  <c r="P81" i="1"/>
  <c r="E81" i="1"/>
  <c r="P79" i="1"/>
  <c r="P78" i="1"/>
  <c r="P86" i="1" s="1"/>
  <c r="P89" i="1" s="1"/>
  <c r="E66" i="1"/>
  <c r="E67" i="1" s="1"/>
  <c r="F66" i="1"/>
  <c r="F67" i="1" s="1"/>
  <c r="G66" i="1"/>
  <c r="G67" i="1" s="1"/>
  <c r="H66" i="1"/>
  <c r="H67" i="1" s="1"/>
  <c r="I66" i="1"/>
  <c r="I67" i="1" s="1"/>
  <c r="J66" i="1"/>
  <c r="J67" i="1" s="1"/>
  <c r="K66" i="1"/>
  <c r="K67" i="1" s="1"/>
  <c r="L66" i="1"/>
  <c r="L67" i="1" s="1"/>
  <c r="M66" i="1"/>
  <c r="M67" i="1" s="1"/>
  <c r="N66" i="1"/>
  <c r="N67" i="1" s="1"/>
  <c r="O66" i="1"/>
  <c r="O67" i="1" s="1"/>
  <c r="E68" i="1"/>
  <c r="F68" i="1"/>
  <c r="G68" i="1"/>
  <c r="H68" i="1"/>
  <c r="I68" i="1"/>
  <c r="J68" i="1"/>
  <c r="K68" i="1"/>
  <c r="L68" i="1"/>
  <c r="M68" i="1"/>
  <c r="N68" i="1"/>
  <c r="O68" i="1"/>
  <c r="E70" i="1"/>
  <c r="F70" i="1"/>
  <c r="G70" i="1"/>
  <c r="H70" i="1"/>
  <c r="I70" i="1"/>
  <c r="J70" i="1"/>
  <c r="K70" i="1"/>
  <c r="L70" i="1"/>
  <c r="M70" i="1"/>
  <c r="N70" i="1"/>
  <c r="O70" i="1"/>
  <c r="D70" i="1"/>
  <c r="D68" i="1"/>
  <c r="D66" i="1"/>
  <c r="D67" i="1" s="1"/>
  <c r="P65" i="1"/>
  <c r="E102" i="1" s="1"/>
  <c r="E26" i="1"/>
  <c r="E28" i="1" s="1"/>
  <c r="F26" i="1"/>
  <c r="F28" i="1" s="1"/>
  <c r="G26" i="1"/>
  <c r="G28" i="1" s="1"/>
  <c r="G29" i="1" s="1"/>
  <c r="H26" i="1"/>
  <c r="I26" i="1"/>
  <c r="I28" i="1" s="1"/>
  <c r="J26" i="1"/>
  <c r="J28" i="1" s="1"/>
  <c r="K26" i="1"/>
  <c r="K28" i="1" s="1"/>
  <c r="L26" i="1"/>
  <c r="L28" i="1" s="1"/>
  <c r="L29" i="1" s="1"/>
  <c r="L30" i="1" s="1"/>
  <c r="M26" i="1"/>
  <c r="M28" i="1" s="1"/>
  <c r="M29" i="1" s="1"/>
  <c r="M30" i="1" s="1"/>
  <c r="N26" i="1"/>
  <c r="N28" i="1" s="1"/>
  <c r="N29" i="1" s="1"/>
  <c r="N30" i="1" s="1"/>
  <c r="O26" i="1"/>
  <c r="D26" i="1"/>
  <c r="E43" i="1"/>
  <c r="D28" i="1"/>
  <c r="D35" i="1" s="1"/>
  <c r="E22" i="1"/>
  <c r="E48" i="1" s="1"/>
  <c r="E101" i="1" s="1"/>
  <c r="F22" i="1"/>
  <c r="G22" i="1"/>
  <c r="P26" i="1" l="1"/>
  <c r="E98" i="1" s="1"/>
  <c r="O69" i="1"/>
  <c r="O71" i="1" s="1"/>
  <c r="K69" i="1"/>
  <c r="K71" i="1" s="1"/>
  <c r="G69" i="1"/>
  <c r="G71" i="1" s="1"/>
  <c r="N69" i="1"/>
  <c r="L69" i="1"/>
  <c r="J69" i="1"/>
  <c r="J71" i="1" s="1"/>
  <c r="H69" i="1"/>
  <c r="H71" i="1" s="1"/>
  <c r="F69" i="1"/>
  <c r="M69" i="1"/>
  <c r="M71" i="1" s="1"/>
  <c r="I69" i="1"/>
  <c r="I71" i="1" s="1"/>
  <c r="E69" i="1"/>
  <c r="E71" i="1" s="1"/>
  <c r="D69" i="1"/>
  <c r="D71" i="1" s="1"/>
  <c r="N71" i="1"/>
  <c r="L71" i="1"/>
  <c r="F71" i="1"/>
  <c r="E82" i="1"/>
  <c r="E90" i="1" s="1"/>
  <c r="F103" i="1"/>
  <c r="E44" i="1"/>
  <c r="H27" i="1" s="1"/>
  <c r="H28" i="1" s="1"/>
  <c r="F99" i="1"/>
  <c r="E84" i="1"/>
  <c r="E86" i="1" s="1"/>
  <c r="E88" i="1" s="1"/>
  <c r="E91" i="1" s="1"/>
  <c r="P82" i="1"/>
  <c r="P85" i="1" s="1"/>
  <c r="P87" i="1" s="1"/>
  <c r="P90" i="1" s="1"/>
  <c r="L119" i="1" s="1"/>
  <c r="K29" i="1"/>
  <c r="K30" i="1" s="1"/>
  <c r="K31" i="1"/>
  <c r="K35" i="1"/>
  <c r="E55" i="1"/>
  <c r="M33" i="1"/>
  <c r="M31" i="1"/>
  <c r="M32" i="1" s="1"/>
  <c r="M35" i="1"/>
  <c r="K33" i="1"/>
  <c r="N35" i="1"/>
  <c r="L35" i="1"/>
  <c r="N33" i="1"/>
  <c r="L33" i="1"/>
  <c r="N31" i="1"/>
  <c r="N32" i="1" s="1"/>
  <c r="L31" i="1"/>
  <c r="L32" i="1" s="1"/>
  <c r="J31" i="1"/>
  <c r="J35" i="1"/>
  <c r="J29" i="1"/>
  <c r="J30" i="1" s="1"/>
  <c r="J33" i="1"/>
  <c r="E50" i="1"/>
  <c r="D29" i="1"/>
  <c r="D30" i="1" s="1"/>
  <c r="I31" i="1"/>
  <c r="I35" i="1"/>
  <c r="I29" i="1"/>
  <c r="I30" i="1" s="1"/>
  <c r="I33" i="1"/>
  <c r="E29" i="1"/>
  <c r="E30" i="1" s="1"/>
  <c r="E31" i="1"/>
  <c r="E33" i="1"/>
  <c r="E35" i="1"/>
  <c r="F29" i="1"/>
  <c r="F30" i="1" s="1"/>
  <c r="F31" i="1"/>
  <c r="F33" i="1"/>
  <c r="F35" i="1"/>
  <c r="D33" i="1"/>
  <c r="D31" i="1"/>
  <c r="G35" i="1"/>
  <c r="G33" i="1"/>
  <c r="G31" i="1"/>
  <c r="G30" i="1"/>
  <c r="I32" i="1" l="1"/>
  <c r="E92" i="1"/>
  <c r="L116" i="1" s="1"/>
  <c r="L34" i="1"/>
  <c r="L36" i="1" s="1"/>
  <c r="J32" i="1"/>
  <c r="J34" i="1" s="1"/>
  <c r="J36" i="1" s="1"/>
  <c r="N34" i="1"/>
  <c r="N36" i="1" s="1"/>
  <c r="P71" i="1"/>
  <c r="L115" i="1" s="1"/>
  <c r="L130" i="1"/>
  <c r="E117" i="1"/>
  <c r="E57" i="1"/>
  <c r="E100" i="1"/>
  <c r="E104" i="1" s="1"/>
  <c r="E51" i="1"/>
  <c r="F101" i="1"/>
  <c r="K32" i="1"/>
  <c r="K34" i="1" s="1"/>
  <c r="K36" i="1" s="1"/>
  <c r="F32" i="1"/>
  <c r="F34" i="1" s="1"/>
  <c r="F36" i="1" s="1"/>
  <c r="M34" i="1"/>
  <c r="M36" i="1" s="1"/>
  <c r="I34" i="1"/>
  <c r="I36" i="1" s="1"/>
  <c r="D32" i="1"/>
  <c r="D34" i="1" s="1"/>
  <c r="D36" i="1" s="1"/>
  <c r="E32" i="1"/>
  <c r="E34" i="1" s="1"/>
  <c r="E36" i="1" s="1"/>
  <c r="H29" i="1"/>
  <c r="H30" i="1" s="1"/>
  <c r="H31" i="1"/>
  <c r="H33" i="1"/>
  <c r="H35" i="1"/>
  <c r="G32" i="1"/>
  <c r="G34" i="1" s="1"/>
  <c r="G36" i="1" s="1"/>
  <c r="E106" i="1" l="1"/>
  <c r="E109" i="1" s="1"/>
  <c r="E114" i="1"/>
  <c r="E58" i="1"/>
  <c r="O27" i="1" s="1"/>
  <c r="O28" i="1" s="1"/>
  <c r="F100" i="1"/>
  <c r="F104" i="1" s="1"/>
  <c r="E115" i="1" s="1"/>
  <c r="H32" i="1"/>
  <c r="H34" i="1" s="1"/>
  <c r="H36" i="1" s="1"/>
  <c r="O33" i="1" l="1"/>
  <c r="O31" i="1"/>
  <c r="O35" i="1"/>
  <c r="P35" i="1" s="1"/>
  <c r="L120" i="1" s="1"/>
  <c r="E127" i="1" s="1"/>
  <c r="O29" i="1"/>
  <c r="O30" i="1" s="1"/>
  <c r="E116" i="1"/>
  <c r="E118" i="1" s="1"/>
  <c r="O32" i="1" l="1"/>
  <c r="O34" i="1" s="1"/>
  <c r="O36" i="1" s="1"/>
  <c r="P36" i="1" s="1"/>
  <c r="L114" i="1" s="1"/>
  <c r="L117" i="1" s="1"/>
  <c r="E136" i="1" s="1"/>
  <c r="E120" i="1"/>
  <c r="E123" i="1" s="1"/>
  <c r="M102" i="1"/>
  <c r="M104" i="1" s="1"/>
  <c r="L125" i="1"/>
  <c r="E125" i="1" l="1"/>
  <c r="E121" i="1"/>
  <c r="E122" i="1" s="1"/>
  <c r="E124" i="1" s="1"/>
  <c r="E126" i="1" l="1"/>
  <c r="L124" i="1" s="1"/>
  <c r="L126" i="1" s="1"/>
  <c r="L128" i="1" s="1"/>
  <c r="L131" i="1" s="1"/>
  <c r="L132" i="1" s="1"/>
  <c r="E134" i="1" s="1"/>
  <c r="E128" i="1" l="1"/>
  <c r="E133" i="1" s="1"/>
  <c r="E135" i="1" s="1"/>
  <c r="E137" i="1" s="1"/>
</calcChain>
</file>

<file path=xl/sharedStrings.xml><?xml version="1.0" encoding="utf-8"?>
<sst xmlns="http://schemas.openxmlformats.org/spreadsheetml/2006/main" count="1741" uniqueCount="395">
  <si>
    <t>Tarifa anual Ejercicio 2020</t>
  </si>
  <si>
    <t>Límite inferior</t>
  </si>
  <si>
    <t>Límite superior</t>
  </si>
  <si>
    <t>Cuota fija</t>
  </si>
  <si>
    <t>Por ciento para aplicarse sobre</t>
  </si>
  <si>
    <t>el excedente del límite inferior</t>
  </si>
  <si>
    <t>$</t>
  </si>
  <si>
    <t>%</t>
  </si>
  <si>
    <t>En adelante</t>
  </si>
  <si>
    <t>Para Ingresos de</t>
  </si>
  <si>
    <t>Hasta Ingresos de</t>
  </si>
  <si>
    <t>Cantidad de subsidio para el empleo mensual</t>
  </si>
  <si>
    <t>Enero</t>
  </si>
  <si>
    <t>Abril</t>
  </si>
  <si>
    <t>Julio</t>
  </si>
  <si>
    <t>Octubre</t>
  </si>
  <si>
    <t>Febrero</t>
  </si>
  <si>
    <t>Mayo</t>
  </si>
  <si>
    <t>Agosto</t>
  </si>
  <si>
    <t>Noviembre</t>
  </si>
  <si>
    <t>Marzo</t>
  </si>
  <si>
    <t>Junio</t>
  </si>
  <si>
    <t>Septiembre</t>
  </si>
  <si>
    <t>Diciembre</t>
  </si>
  <si>
    <t>Información permanente</t>
  </si>
  <si>
    <t>Salario Mínimo General</t>
  </si>
  <si>
    <t>Salario Mínimo General RFN</t>
  </si>
  <si>
    <t>Salario cuota diaria</t>
  </si>
  <si>
    <t>UMA diaria</t>
  </si>
  <si>
    <t>UMA anual</t>
  </si>
  <si>
    <t>Salario mensual</t>
  </si>
  <si>
    <t>LISR</t>
  </si>
  <si>
    <t>LSS</t>
  </si>
  <si>
    <t>LFT</t>
  </si>
  <si>
    <t>Concepto</t>
  </si>
  <si>
    <t>Base gravable</t>
  </si>
  <si>
    <t>(-)</t>
  </si>
  <si>
    <t>(=)</t>
  </si>
  <si>
    <t>Excedente</t>
  </si>
  <si>
    <t>(x)</t>
  </si>
  <si>
    <t>% sobre excedente</t>
  </si>
  <si>
    <t>Impuesto marginal</t>
  </si>
  <si>
    <t>(+)</t>
  </si>
  <si>
    <t>ISR determinado</t>
  </si>
  <si>
    <t>Subsidio para el empleo</t>
  </si>
  <si>
    <t>ISR a retener</t>
  </si>
  <si>
    <t xml:space="preserve">Otras percepciones </t>
  </si>
  <si>
    <t>Cálculo de PTU</t>
  </si>
  <si>
    <t>Importes</t>
  </si>
  <si>
    <t>Importe de la PTU pagada</t>
  </si>
  <si>
    <t>UMA</t>
  </si>
  <si>
    <t>PTU exenta</t>
  </si>
  <si>
    <t>PTU gravada</t>
  </si>
  <si>
    <t>Cálculo de prima vacacional</t>
  </si>
  <si>
    <t>Importe de prima vacacional</t>
  </si>
  <si>
    <t>Prima vacacional exenta</t>
  </si>
  <si>
    <t>Prima vacacional gravada</t>
  </si>
  <si>
    <t>Cálculo del aguinaldo</t>
  </si>
  <si>
    <t>Importe del aguinaldo</t>
  </si>
  <si>
    <t>Aguinaldo exento</t>
  </si>
  <si>
    <t>Aguinaldo gravado</t>
  </si>
  <si>
    <t>I. Datos</t>
  </si>
  <si>
    <t>II. Cálculo de ISR</t>
  </si>
  <si>
    <t>III. Partes exentas de pagos por salarios y en general por un servicio personal subordinado</t>
  </si>
  <si>
    <t>Totales</t>
  </si>
  <si>
    <t>Asimilados a salarios</t>
  </si>
  <si>
    <t>Pagos por separación</t>
  </si>
  <si>
    <t>Importes para declaración anual</t>
  </si>
  <si>
    <t>USMO</t>
  </si>
  <si>
    <t>Antigüedad (años base)</t>
  </si>
  <si>
    <t>Parte exenta</t>
  </si>
  <si>
    <t>Parte gravada</t>
  </si>
  <si>
    <t>Impuesto USMO</t>
  </si>
  <si>
    <t>(÷)</t>
  </si>
  <si>
    <t>Cociente</t>
  </si>
  <si>
    <t>Por 100</t>
  </si>
  <si>
    <t>Parte no acumulable</t>
  </si>
  <si>
    <t>Tasa efectiva</t>
  </si>
  <si>
    <t>Parte acumulable</t>
  </si>
  <si>
    <t>Pagos por separación gravados</t>
  </si>
  <si>
    <t>Retención de ISR</t>
  </si>
  <si>
    <t>Conceptos</t>
  </si>
  <si>
    <t>Montos</t>
  </si>
  <si>
    <t>Exento</t>
  </si>
  <si>
    <t>Ingresos por salarios</t>
  </si>
  <si>
    <t>PTU</t>
  </si>
  <si>
    <t>Aguinaldo</t>
  </si>
  <si>
    <t>Prima vacacional</t>
  </si>
  <si>
    <t>Total de ingresos por salarios</t>
  </si>
  <si>
    <t>15% de ingresos (incluyendo exentos)</t>
  </si>
  <si>
    <t>5 veces UMA elevada al año</t>
  </si>
  <si>
    <t>Tope para deducciones personales</t>
  </si>
  <si>
    <t>VII. Deducciones personales</t>
  </si>
  <si>
    <t>Gastos médicos</t>
  </si>
  <si>
    <t>Gastos funerarios</t>
  </si>
  <si>
    <t>Intereses reales por créditos hipotecarios</t>
  </si>
  <si>
    <t>Seguro de gastos médicos</t>
  </si>
  <si>
    <t>Transporte escolar</t>
  </si>
  <si>
    <t>Impuesto local por salarios</t>
  </si>
  <si>
    <t>Total de deducciones personales</t>
  </si>
  <si>
    <t>VI. Datos para declaración anual</t>
  </si>
  <si>
    <t>VIII. Estímulos fiscales</t>
  </si>
  <si>
    <t>Cuentas personales especiales</t>
  </si>
  <si>
    <t>Total de estímulos</t>
  </si>
  <si>
    <t>Ingresos exentos</t>
  </si>
  <si>
    <t>Ingresos gravados</t>
  </si>
  <si>
    <t>Ingresos no acumulables</t>
  </si>
  <si>
    <t>Ingresos gravados acumulables</t>
  </si>
  <si>
    <t>Deducciones personales</t>
  </si>
  <si>
    <t>Ingresos base</t>
  </si>
  <si>
    <t>SPE que correspondió</t>
  </si>
  <si>
    <t>ISR de ingresos acumulables</t>
  </si>
  <si>
    <t>IX. Acumulados retenciones y SPE</t>
  </si>
  <si>
    <t>ISR de salarios</t>
  </si>
  <si>
    <t>ISR de asimilados</t>
  </si>
  <si>
    <t>ISR de pagos por separación</t>
  </si>
  <si>
    <t>Total retenciones de ISR</t>
  </si>
  <si>
    <t>Ingresos gravados no acumulables</t>
  </si>
  <si>
    <t>SPE que correspondió al trabajador</t>
  </si>
  <si>
    <t>Impuesto Fracción I Art. 95 LISR</t>
  </si>
  <si>
    <t>Cantidad a la que se aplicó tarifa</t>
  </si>
  <si>
    <t>Parte gravada no acumulable</t>
  </si>
  <si>
    <t>ISR de ingresos no acumulables</t>
  </si>
  <si>
    <t>ISR del ejercicio</t>
  </si>
  <si>
    <t>Retenciones del ejercicio</t>
  </si>
  <si>
    <t>ISR a cargo o saldo a favor</t>
  </si>
  <si>
    <t>Total</t>
  </si>
  <si>
    <t>Ingresos por actividad empresarial</t>
  </si>
  <si>
    <t>Ingresos por actividad profesional</t>
  </si>
  <si>
    <t>Total de ingresos</t>
  </si>
  <si>
    <t>Ingresos efectivamente percibidos en el mes</t>
  </si>
  <si>
    <t>Ingresos de periodos anteriores</t>
  </si>
  <si>
    <t>Deducciones efectivamente erogadas</t>
  </si>
  <si>
    <t>Deducciones de periodos anteriores</t>
  </si>
  <si>
    <t>Total de deducciones autorizadas</t>
  </si>
  <si>
    <t>Retenciones efectuadas</t>
  </si>
  <si>
    <t>Retenciones periodos anteriores</t>
  </si>
  <si>
    <t>Total de retenciones efectuadas</t>
  </si>
  <si>
    <t>Ingresos menos deducciones</t>
  </si>
  <si>
    <t>PTU pagada en el ejercicio</t>
  </si>
  <si>
    <t>Pérdidas fiscales ejercicios anteiores</t>
  </si>
  <si>
    <t>Base gravable acumulada</t>
  </si>
  <si>
    <t>Pagos provisionales anteriores</t>
  </si>
  <si>
    <t>Pago provisional del mes</t>
  </si>
  <si>
    <t>Retenciones de ISR</t>
  </si>
  <si>
    <t>ISR a cargo</t>
  </si>
  <si>
    <t>Tope deducción personal</t>
  </si>
  <si>
    <t>Total de retenciones de ISR</t>
  </si>
  <si>
    <t>Pagos provisionales efectuados</t>
  </si>
  <si>
    <t>Colegiatura 1 alumno nivel secundaria</t>
  </si>
  <si>
    <t>Pagos provisionales</t>
  </si>
  <si>
    <t>III. Datos para declaración anual</t>
  </si>
  <si>
    <t>IV. Deducciones personales</t>
  </si>
  <si>
    <t>V. Estímulos fiscales</t>
  </si>
  <si>
    <t>Ingresos por arrendamiento</t>
  </si>
  <si>
    <t>Deducción optativa 35%</t>
  </si>
  <si>
    <t>Deducción de impuesto predial</t>
  </si>
  <si>
    <t>Base del impuesto</t>
  </si>
  <si>
    <t>ISR retenido del mes</t>
  </si>
  <si>
    <t>Impuesto a cargo</t>
  </si>
  <si>
    <t>Construcción</t>
  </si>
  <si>
    <t>Costo de adquisición</t>
  </si>
  <si>
    <t>Mes de adquisición</t>
  </si>
  <si>
    <t>Terreno</t>
  </si>
  <si>
    <t>Costo incurrido</t>
  </si>
  <si>
    <t>Mes de entrega</t>
  </si>
  <si>
    <t>II. Cálculo del costo comprobado de adquisición actualizado</t>
  </si>
  <si>
    <t>Art. 124, fracción II</t>
  </si>
  <si>
    <t>Banco de México</t>
  </si>
  <si>
    <t>Índices de Precios al Consumidor y UDIS</t>
  </si>
  <si>
    <t>Principales índices mensuales</t>
  </si>
  <si>
    <t>Fecha de consulta: 30/01/2021 01:28:08</t>
  </si>
  <si>
    <t>Aviso importante: Algunas de las series que está consultando registra un cambio, por favor consulte los metadatos de las mismas.</t>
  </si>
  <si>
    <t>Título</t>
  </si>
  <si>
    <t>IPC Por objeto del gasto Nacional, I n d i c e G e n e r a l</t>
  </si>
  <si>
    <t>Periodo disponible</t>
  </si>
  <si>
    <t>Ene 1969 - Dic 2020</t>
  </si>
  <si>
    <t>Periodicidad</t>
  </si>
  <si>
    <t>Mensual</t>
  </si>
  <si>
    <t>Cifra</t>
  </si>
  <si>
    <t>Indices</t>
  </si>
  <si>
    <t>Unidad</t>
  </si>
  <si>
    <t>Sin Unidad</t>
  </si>
  <si>
    <t>Base</t>
  </si>
  <si>
    <t>2Q Jul 2018</t>
  </si>
  <si>
    <t>Aviso</t>
  </si>
  <si>
    <t>Acorde con la Ley del Sistema Nacional de Información Estadística y Geográfica, publicada en el Diario Oficial de la Federación el 16 de abril de 2008, a partir del 15 de julio de 2011 el Instituto Nacional de Estadística y Geografía (INEGI) tiene la facultad exclusiva de elaborar y publicar los índices nacionales de precios.  En consideración a lo anterior, la información sobre la inflación referente a junio de 2011 fue la última publicada por el Banco de México. El INEGI comenzó la difusión de la información con los resultados correspondientes a la primera quincena de julio de 2011.</t>
  </si>
  <si>
    <t>Tipo de información</t>
  </si>
  <si>
    <t>Índices</t>
  </si>
  <si>
    <t>Fecha</t>
  </si>
  <si>
    <t>SP1</t>
  </si>
  <si>
    <t>Costo comprobado de adquisición actualizado</t>
  </si>
  <si>
    <t>Costo incurrido en construcción</t>
  </si>
  <si>
    <t>Deducción del 3% anual</t>
  </si>
  <si>
    <t>Años transcurridos</t>
  </si>
  <si>
    <t>Parte deducida por tiempo transcurrido</t>
  </si>
  <si>
    <t>Costo disminuido</t>
  </si>
  <si>
    <t>Costo comprobado actualizado</t>
  </si>
  <si>
    <t>Costo Com. Ad.</t>
  </si>
  <si>
    <t>Precio de venta</t>
  </si>
  <si>
    <r>
      <rPr>
        <b/>
        <sz val="11"/>
        <color theme="1"/>
        <rFont val="Arial"/>
        <family val="2"/>
      </rPr>
      <t>Fecha de enajenación:</t>
    </r>
    <r>
      <rPr>
        <sz val="11"/>
        <color theme="1"/>
        <rFont val="Arial"/>
        <family val="2"/>
      </rPr>
      <t xml:space="preserve"> </t>
    </r>
  </si>
  <si>
    <t>Contraprestación</t>
  </si>
  <si>
    <t>Ganancia</t>
  </si>
  <si>
    <t>Años</t>
  </si>
  <si>
    <t>Ganancia acum.</t>
  </si>
  <si>
    <t>Ganancia acumulable por enajenación</t>
  </si>
  <si>
    <t>Cociente Art. 200 RLISR</t>
  </si>
  <si>
    <t>P. Provisional</t>
  </si>
  <si>
    <t>Impto local</t>
  </si>
  <si>
    <t>Ingresos por enajenación de bienes</t>
  </si>
  <si>
    <t>Total de ingresos por enajenación</t>
  </si>
  <si>
    <t>Ganancia entre No. años</t>
  </si>
  <si>
    <t>Impuesto Fracción III Art. 120 LISR</t>
  </si>
  <si>
    <t>Pago provisional del ejercicio</t>
  </si>
  <si>
    <t>Total pagos provisionales</t>
  </si>
  <si>
    <t>Arrendamiento</t>
  </si>
  <si>
    <t>Actividad empresarial y profesional</t>
  </si>
  <si>
    <t>III. Cálculo del pago provisional</t>
  </si>
  <si>
    <t>IV. Datos para declaración anual</t>
  </si>
  <si>
    <t>V. Deducciones personales</t>
  </si>
  <si>
    <t>VI. Estímulos fiscales</t>
  </si>
  <si>
    <t>VII. Ganancia acumulable</t>
  </si>
  <si>
    <t>VIII. Cálculo ISR del ejercicio</t>
  </si>
  <si>
    <t>IX. Resumen ISR del ejercicio</t>
  </si>
  <si>
    <t>1. Caso de ingresos por salarios con dos o más patrones</t>
  </si>
  <si>
    <t>I. Datos del patrón 1</t>
  </si>
  <si>
    <t>I.I Retenciones mensuales de ISR Art. 96 LISR</t>
  </si>
  <si>
    <t>I.II Partes exentas de pagos por salarios y en general por un servicio personal subordinado</t>
  </si>
  <si>
    <t>Art. 123 LFT, Art. 9 LISR, Art. 93, fracción XIV LISR</t>
  </si>
  <si>
    <t>Art. 80 LFT,  Art. 93, fracción XIV LISR</t>
  </si>
  <si>
    <t>Art. 87 LFT,  Art. 93, fracción XIV LISR</t>
  </si>
  <si>
    <t>II. Datos del patrón 2</t>
  </si>
  <si>
    <t>II.I Retenciones mensuales de ISR Art. 96 LISR</t>
  </si>
  <si>
    <t>II.II Partes exentas de pagos por salarios y en general por un servicio personal subordinado</t>
  </si>
  <si>
    <t>Deducible</t>
  </si>
  <si>
    <t>Máximo</t>
  </si>
  <si>
    <t>VI. Acumulados retenciones y SPE</t>
  </si>
  <si>
    <t>VII. Cálculo ISR del ejercicio</t>
  </si>
  <si>
    <t>Colegiaturas 1 alumno primaria</t>
  </si>
  <si>
    <t>Cuenta personal especial de ahorro</t>
  </si>
  <si>
    <t>2. Segundo caso de ingresos por salarios con dos o más patrones</t>
  </si>
  <si>
    <t>(260 x 6 días x 25%)</t>
  </si>
  <si>
    <t>(260 x 15 días)</t>
  </si>
  <si>
    <t>(283.33 x 6 días x 30%)</t>
  </si>
  <si>
    <t>(283.33 x 30 días)</t>
  </si>
  <si>
    <t>IV. Conceptos asimilados Art. 94, fracción V y Art. 96 LISR</t>
  </si>
  <si>
    <t>V. Pagos por separación Art. 93, fracción XIII y Art. 96, párrafo sexto de la LISR</t>
  </si>
  <si>
    <t>Aportaciones complementarias de retiro</t>
  </si>
  <si>
    <t>Colegiaturas 1 alumno bachillerato</t>
  </si>
  <si>
    <t>XI. ISR de ingresos no acumulables Art. 95 LISR</t>
  </si>
  <si>
    <t>X. Cálculo ISR de ingresos acumulables Art. 152 LISR</t>
  </si>
  <si>
    <t>XII. Resumen ISR del ejercicio Art. 95 LISR</t>
  </si>
  <si>
    <t>3. Caso de ingresos por salarios con viáticos, intereses y préstamos</t>
  </si>
  <si>
    <t>(266.67 x 8 días x 25%)</t>
  </si>
  <si>
    <t>(266.67 x 15 días)</t>
  </si>
  <si>
    <t>Viáticos comprobados</t>
  </si>
  <si>
    <t>Viáticos entregados</t>
  </si>
  <si>
    <t>Viaticos no comprobados</t>
  </si>
  <si>
    <t>1 Dispersión en el año</t>
  </si>
  <si>
    <t>Alimentación</t>
  </si>
  <si>
    <t>Art. 93, fracción XVII, Art. 28, fracción V LISR y Art. 152 RLISR</t>
  </si>
  <si>
    <t>¿Viáticos gravados?</t>
  </si>
  <si>
    <t>Mes</t>
  </si>
  <si>
    <t>Inversión</t>
  </si>
  <si>
    <t>Días</t>
  </si>
  <si>
    <t>Saldos diarios</t>
  </si>
  <si>
    <t>Saldo</t>
  </si>
  <si>
    <t>promedio</t>
  </si>
  <si>
    <t>Monto</t>
  </si>
  <si>
    <t>Factor</t>
  </si>
  <si>
    <t>Saldo promedio diario de la inversión</t>
  </si>
  <si>
    <t>Factor de ajuste</t>
  </si>
  <si>
    <t>Ajuste por inflación correspondiente</t>
  </si>
  <si>
    <t>Importe</t>
  </si>
  <si>
    <t>Intereses nominales percibidos</t>
  </si>
  <si>
    <t>Interes real acumulable</t>
  </si>
  <si>
    <t>nominales</t>
  </si>
  <si>
    <t>IV.III Ajuste por inflación e intereses reales</t>
  </si>
  <si>
    <t>Retención</t>
  </si>
  <si>
    <t>ISR</t>
  </si>
  <si>
    <t>Intereses</t>
  </si>
  <si>
    <t>IV. Intereses Art. 134 y 135 LISR</t>
  </si>
  <si>
    <t>IV.I Inversión con tasa nominal del 7% anual sin reinversión de intereses</t>
  </si>
  <si>
    <t>IV.II Factor de ajuste</t>
  </si>
  <si>
    <t>Los datos de intereses nominales, intereses reales y</t>
  </si>
  <si>
    <t>que paga los intereses, a través de una constancia</t>
  </si>
  <si>
    <t xml:space="preserve">retención de ISR, los proporciona la entidad financiera </t>
  </si>
  <si>
    <t>El contribuyente también recibió un donativo de su abuelo en cantidad de $500,000.00</t>
  </si>
  <si>
    <t>Intereses reales</t>
  </si>
  <si>
    <t>Donativos</t>
  </si>
  <si>
    <t>Préstamos</t>
  </si>
  <si>
    <t>Lentes ópticos graduados</t>
  </si>
  <si>
    <t>ISR de intereses</t>
  </si>
  <si>
    <t xml:space="preserve">Total de ingresos </t>
  </si>
  <si>
    <t>Colegiaturas 1 alumno preescolar</t>
  </si>
  <si>
    <t>*Se declara en datos informativos</t>
  </si>
  <si>
    <t>*Se declara como ingreso exento y en datos informativos</t>
  </si>
  <si>
    <t>4. Caso de ingresos por salarios con honorarios y arrendamiento</t>
  </si>
  <si>
    <t>IV. Actividad profesional por servicios prestados a personas morales</t>
  </si>
  <si>
    <t>IV.I Pagos provisionales mensuales</t>
  </si>
  <si>
    <t>V. Ingresos por arrendamiento a persona moral</t>
  </si>
  <si>
    <t>Viáticos</t>
  </si>
  <si>
    <t>Actividad profesional</t>
  </si>
  <si>
    <t>ISR de honorarios</t>
  </si>
  <si>
    <t>ISR de arrendamiento</t>
  </si>
  <si>
    <t xml:space="preserve">IX. Acumulados retenciones </t>
  </si>
  <si>
    <t>X. Pagos provisionales</t>
  </si>
  <si>
    <t>XI. Cálculo ISR de ingresos acumulables Art. 152 LISR</t>
  </si>
  <si>
    <t>5. Caso de actividad empresarial y profesional</t>
  </si>
  <si>
    <t>II. Enajenación de bienes de activo fijo</t>
  </si>
  <si>
    <t>Art. 31 LISR</t>
  </si>
  <si>
    <t>MOI</t>
  </si>
  <si>
    <t>Fecha de adquisición</t>
  </si>
  <si>
    <t>Fecha de enajenación</t>
  </si>
  <si>
    <t>% máximo de deducción</t>
  </si>
  <si>
    <t>I. Saldo por deducir actualizado</t>
  </si>
  <si>
    <t>MOI histórico</t>
  </si>
  <si>
    <t>Deducción acum. al 31-Dic-2019</t>
  </si>
  <si>
    <t>Parte del monto no deducida</t>
  </si>
  <si>
    <t>Saldo por deducir actualizado</t>
  </si>
  <si>
    <t>II. Ganancia en la enajenación</t>
  </si>
  <si>
    <t>Ganancia o pérdida en enajenación</t>
  </si>
  <si>
    <t>IV. Pagos provisionales</t>
  </si>
  <si>
    <t>Ganancia en la enajenación de camioneta</t>
  </si>
  <si>
    <t>Fecha de Adq.</t>
  </si>
  <si>
    <t>% deducción</t>
  </si>
  <si>
    <t>Deducción anual</t>
  </si>
  <si>
    <t>Deducción mensual</t>
  </si>
  <si>
    <t>Meses de uso</t>
  </si>
  <si>
    <t>Deducción Histórica</t>
  </si>
  <si>
    <t>Factor de Actualización</t>
  </si>
  <si>
    <t>Deducción Actualizada</t>
  </si>
  <si>
    <t>Mobiliario y equipo de oficina</t>
  </si>
  <si>
    <t>Equipo de reparto</t>
  </si>
  <si>
    <t>Equipo de cómputo</t>
  </si>
  <si>
    <t>Saldo pendiente de deducir</t>
  </si>
  <si>
    <t>INPC último mes 1a mitad</t>
  </si>
  <si>
    <t>INPC adquisición</t>
  </si>
  <si>
    <t>III. Deducción de inversiones Art. 31 y 34 de la LISR</t>
  </si>
  <si>
    <t>Actividad empresarial</t>
  </si>
  <si>
    <t>ISR de AEyP</t>
  </si>
  <si>
    <t>6. Caso de enajenación de bien inmueble</t>
  </si>
  <si>
    <t>IX. Cálculo tasa efectiva</t>
  </si>
  <si>
    <t>X. Cálculo ESPEJO para tasa efectiva</t>
  </si>
  <si>
    <t>Art.109 LISR</t>
  </si>
  <si>
    <t>Art. 116 LISR</t>
  </si>
  <si>
    <t>Art. 109 LISR</t>
  </si>
  <si>
    <t>(89.62 x 15 días)</t>
  </si>
  <si>
    <t>(145.00 x 10 días x 25%)</t>
  </si>
  <si>
    <t>(145.00  x 15 días)</t>
  </si>
  <si>
    <t>(89.62 x 30 días)</t>
  </si>
  <si>
    <t>(89.62x 15 días)</t>
  </si>
  <si>
    <t>(89.62x 30 días)</t>
  </si>
  <si>
    <t>Tarifa anual Ejercicio 2021</t>
  </si>
  <si>
    <t xml:space="preserve">Por ciento para aplicarse sobre </t>
  </si>
  <si>
    <r>
      <t xml:space="preserve">Tarifa para </t>
    </r>
    <r>
      <rPr>
        <b/>
        <sz val="11"/>
        <color rgb="FFFF0000"/>
        <rFont val="Arial"/>
        <family val="2"/>
      </rPr>
      <t>salarios y arrendamiento</t>
    </r>
  </si>
  <si>
    <t>Tarifas para actividad empresarial y profesional</t>
  </si>
  <si>
    <t>(89.62 x 90 x 11)</t>
  </si>
  <si>
    <t>INPC mes más reciente (Dic-21)</t>
  </si>
  <si>
    <t>INPC 1er mes del periodo (Ene-21)</t>
  </si>
  <si>
    <t>15 de diciembre de 2019</t>
  </si>
  <si>
    <t>20 de julio de 2021</t>
  </si>
  <si>
    <t>Deducción acum. Ene-21 a Jun-21</t>
  </si>
  <si>
    <t>INPC de marzo 2021</t>
  </si>
  <si>
    <t>INPC de diciembre 2019</t>
  </si>
  <si>
    <t>Deducción Acumulada</t>
  </si>
  <si>
    <t>Terreno y construcción en fechas distintas (uso comercial). Contribuyente no se dedica a enajenar inmuebles</t>
  </si>
  <si>
    <t>Agosto de 2021</t>
  </si>
  <si>
    <t>Marzo de 2009</t>
  </si>
  <si>
    <t>Junio de 2011</t>
  </si>
  <si>
    <t>INPC mes anterior a enajenación (Jul-21)</t>
  </si>
  <si>
    <t>INPC mes de adquisición (Mar-09)</t>
  </si>
  <si>
    <t>INPC mes de adquisición (Jun-11)</t>
  </si>
  <si>
    <t>6. Pago de dividendos</t>
  </si>
  <si>
    <t>Ingresos por dividendos</t>
  </si>
  <si>
    <t>Factor de piramidación</t>
  </si>
  <si>
    <t>Monto del dividendo + ISR Corporativo</t>
  </si>
  <si>
    <t>Tasa del artículo 9 LISR</t>
  </si>
  <si>
    <t>ISR pagado por la Persona Moral</t>
  </si>
  <si>
    <t>Monto bruto del dividendo</t>
  </si>
  <si>
    <t>Dividendo percibido</t>
  </si>
  <si>
    <t>Escenario A</t>
  </si>
  <si>
    <t>Escenario B</t>
  </si>
  <si>
    <t>Dividendos percibidos</t>
  </si>
  <si>
    <t>Base para ISR</t>
  </si>
  <si>
    <t>ISR pagado por la sociedad</t>
  </si>
  <si>
    <t>Retención ISR definitivo 10%</t>
  </si>
  <si>
    <t>ISR neto pagado</t>
  </si>
  <si>
    <t>Ejercicio 2021</t>
  </si>
  <si>
    <t>Accionista que percibe pago de dividendos en 2021 en cantidad neta de $250,000.00</t>
  </si>
  <si>
    <t>II. Cálculo del ISR del ejercicio</t>
  </si>
  <si>
    <t>Deducción de inversiones</t>
  </si>
  <si>
    <t>Viáticos 2021</t>
  </si>
  <si>
    <t>V. Otros conceptos percibidos durante 2021</t>
  </si>
  <si>
    <t>Durante el ejercicio 2021 el contribuyente obtuvo préstamos en cantidad de $290,000.00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</si>
</sst>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0">
    <numFmt numFmtId="44" formatCode="_-&quot;$&quot;* #,##0.00_-;\-&quot;$&quot;* #,##0.00_-;_-&quot;$&quot;* &quot;-&quot;??_-;_-@_-"/>
    <numFmt numFmtId="43" formatCode="_-* #,##0.00_-;\-* #,##0.00_-;_-* &quot;-&quot;??_-;_-@_-"/>
    <numFmt numFmtId="164" formatCode="[$-2]\ #,##0.00_);[Red]\([$-2]\ #,##0.00\)"/>
    <numFmt numFmtId="165" formatCode="_-* #,##0.0000_-;\-* #,##0.0000_-;_-* &quot;-&quot;??_-;_-@_-"/>
    <numFmt numFmtId="166" formatCode="&quot;Ene&quot;\ yyyy"/>
    <numFmt numFmtId="167" formatCode="#,##0.000000000000"/>
    <numFmt numFmtId="168" formatCode="&quot;Feb&quot;\ yyyy"/>
    <numFmt numFmtId="169" formatCode="&quot;Mar&quot;\ yyyy"/>
    <numFmt numFmtId="170" formatCode="&quot;Abr&quot;\ yyyy"/>
    <numFmt numFmtId="171" formatCode="&quot;May&quot;\ yyyy"/>
    <numFmt numFmtId="172" formatCode="&quot;Jun&quot;\ yyyy"/>
    <numFmt numFmtId="173" formatCode="&quot;Jul&quot;\ yyyy"/>
    <numFmt numFmtId="174" formatCode="&quot;Ago&quot;\ yyyy"/>
    <numFmt numFmtId="175" formatCode="&quot;Sep&quot;\ yyyy"/>
    <numFmt numFmtId="176" formatCode="&quot;Oct&quot;\ yyyy"/>
    <numFmt numFmtId="177" formatCode="&quot;Nov&quot;\ yyyy"/>
    <numFmt numFmtId="178" formatCode="&quot;Dic&quot;\ yyyy"/>
    <numFmt numFmtId="179" formatCode="_-* #,##0_-;\-* #,##0_-;_-* &quot;-&quot;??_-;_-@_-"/>
    <numFmt numFmtId="180" formatCode="0.0000"/>
    <numFmt numFmtId="181" formatCode="#,##0.00;[Red]\(#,##0.00\)"/>
  </numFmts>
  <fonts count="28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theme="0"/>
      <name val="Arial"/>
      <family val="2"/>
    </font>
    <font>
      <sz val="11"/>
      <color rgb="FFFF0000"/>
      <name val="Arial"/>
      <family val="2"/>
    </font>
    <font>
      <b/>
      <sz val="11"/>
      <color theme="1"/>
      <name val="Arial"/>
      <family val="2"/>
    </font>
    <font>
      <sz val="11"/>
      <color theme="1"/>
      <name val="Calibri"/>
      <family val="2"/>
      <scheme val="minor"/>
    </font>
    <font>
      <b/>
      <sz val="8"/>
      <color theme="0"/>
      <name val="Arial"/>
      <family val="2"/>
    </font>
    <font>
      <sz val="8"/>
      <color theme="1"/>
      <name val="Arial"/>
      <family val="2"/>
    </font>
    <font>
      <sz val="8"/>
      <name val="Arial"/>
      <family val="2"/>
    </font>
    <font>
      <b/>
      <sz val="11"/>
      <color rgb="FFFF0000"/>
      <name val="Arial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0"/>
      <color rgb="FFFF0000"/>
      <name val="Arial"/>
      <family val="2"/>
    </font>
    <font>
      <sz val="11"/>
      <color indexed="8"/>
      <name val="Calibri"/>
      <family val="2"/>
      <scheme val="minor"/>
    </font>
    <font>
      <b/>
      <sz val="14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b/>
      <sz val="11"/>
      <color rgb="FFC00000"/>
      <name val="Calibri"/>
      <family val="2"/>
    </font>
    <font>
      <b/>
      <sz val="9"/>
      <color theme="0"/>
      <name val="Arial"/>
      <family val="2"/>
    </font>
    <font>
      <b/>
      <sz val="11"/>
      <color rgb="FF002060"/>
      <name val="Arial"/>
      <family val="2"/>
    </font>
    <font>
      <b/>
      <i/>
      <sz val="10"/>
      <color rgb="FF002060"/>
      <name val="Arial"/>
      <family val="2"/>
    </font>
    <font>
      <sz val="11"/>
      <color rgb="FF002060"/>
      <name val="Arial"/>
      <family val="2"/>
    </font>
    <font>
      <b/>
      <sz val="11"/>
      <color rgb="FF002060"/>
      <name val="Calibri"/>
      <family val="2"/>
    </font>
    <font>
      <sz val="11"/>
      <color rgb="FF002060"/>
      <name val="Calibri"/>
      <family val="2"/>
    </font>
    <font>
      <b/>
      <sz val="14"/>
      <color theme="1"/>
      <name val="Arial"/>
      <family val="2"/>
    </font>
    <font>
      <sz val="11"/>
      <name val="Calibri"/>
      <family val="2"/>
    </font>
    <font>
      <b/>
      <sz val="11"/>
      <name val="Calibri"/>
      <family val="2"/>
    </font>
    <font>
      <b/>
      <sz val="10"/>
      <color theme="0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E6E7E7"/>
      </patternFill>
    </fill>
    <fill>
      <patternFill patternType="solid">
        <fgColor rgb="FFE7E7E7" tint="-9.9978637043366805E-2"/>
        <bgColor indexed="65"/>
      </patternFill>
    </fill>
    <fill>
      <patternFill patternType="solid">
        <fgColor rgb="FFE3EBED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darkGrid">
        <bgColor theme="4"/>
      </patternFill>
    </fill>
    <fill>
      <patternFill patternType="darkGrid">
        <bgColor theme="1" tint="0.499984740745262"/>
      </patternFill>
    </fill>
    <fill>
      <patternFill patternType="darkGrid">
        <bgColor rgb="FFC00000"/>
      </patternFill>
    </fill>
    <fill>
      <patternFill patternType="solid">
        <fgColor rgb="FF00B0F0"/>
        <bgColor indexed="64"/>
      </patternFill>
    </fill>
  </fills>
  <borders count="7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7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" fillId="0" borderId="0"/>
    <xf numFmtId="0" fontId="13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90">
    <xf numFmtId="0" fontId="0" fillId="0" borderId="0" xfId="0"/>
    <xf numFmtId="43" fontId="0" fillId="2" borderId="0" xfId="1" applyFont="1" applyFill="1"/>
    <xf numFmtId="0" fontId="4" fillId="2" borderId="0" xfId="3" applyFont="1" applyFill="1"/>
    <xf numFmtId="0" fontId="1" fillId="2" borderId="0" xfId="3" applyFont="1" applyFill="1"/>
    <xf numFmtId="0" fontId="6" fillId="3" borderId="1" xfId="3" applyFont="1" applyFill="1" applyBorder="1" applyAlignment="1">
      <alignment horizontal="center" vertical="center" wrapText="1"/>
    </xf>
    <xf numFmtId="0" fontId="6" fillId="3" borderId="0" xfId="3" applyFont="1" applyFill="1" applyAlignment="1">
      <alignment horizontal="center" vertical="center" wrapText="1"/>
    </xf>
    <xf numFmtId="0" fontId="7" fillId="2" borderId="0" xfId="3" applyFont="1" applyFill="1" applyAlignment="1">
      <alignment horizontal="center" vertical="center" wrapText="1"/>
    </xf>
    <xf numFmtId="4" fontId="7" fillId="2" borderId="0" xfId="3" applyNumberFormat="1" applyFont="1" applyFill="1" applyAlignment="1">
      <alignment horizontal="center" vertical="center" wrapText="1"/>
    </xf>
    <xf numFmtId="4" fontId="7" fillId="2" borderId="2" xfId="3" applyNumberFormat="1" applyFont="1" applyFill="1" applyBorder="1" applyAlignment="1">
      <alignment horizontal="center" vertical="center" wrapText="1"/>
    </xf>
    <xf numFmtId="0" fontId="7" fillId="2" borderId="2" xfId="3" applyFont="1" applyFill="1" applyBorder="1" applyAlignment="1">
      <alignment horizontal="center" vertical="center" wrapText="1"/>
    </xf>
    <xf numFmtId="0" fontId="6" fillId="3" borderId="1" xfId="3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/>
    </xf>
    <xf numFmtId="0" fontId="1" fillId="2" borderId="0" xfId="0" applyFont="1" applyFill="1"/>
    <xf numFmtId="43" fontId="1" fillId="2" borderId="0" xfId="1" applyFont="1" applyFill="1"/>
    <xf numFmtId="0" fontId="4" fillId="2" borderId="0" xfId="0" applyFont="1" applyFill="1"/>
    <xf numFmtId="43" fontId="4" fillId="2" borderId="0" xfId="1" applyFont="1" applyFill="1"/>
    <xf numFmtId="43" fontId="1" fillId="2" borderId="0" xfId="0" applyNumberFormat="1" applyFont="1" applyFill="1"/>
    <xf numFmtId="43" fontId="1" fillId="4" borderId="0" xfId="1" applyFont="1" applyFill="1"/>
    <xf numFmtId="43" fontId="1" fillId="4" borderId="0" xfId="0" applyNumberFormat="1" applyFont="1" applyFill="1"/>
    <xf numFmtId="43" fontId="0" fillId="4" borderId="0" xfId="1" applyFont="1" applyFill="1"/>
    <xf numFmtId="0" fontId="1" fillId="2" borderId="0" xfId="0" applyFont="1" applyFill="1" applyAlignment="1">
      <alignment horizontal="right"/>
    </xf>
    <xf numFmtId="43" fontId="2" fillId="3" borderId="0" xfId="1" applyFont="1" applyFill="1"/>
    <xf numFmtId="43" fontId="1" fillId="2" borderId="3" xfId="0" applyNumberFormat="1" applyFont="1" applyFill="1" applyBorder="1"/>
    <xf numFmtId="10" fontId="1" fillId="2" borderId="3" xfId="2" applyNumberFormat="1" applyFont="1" applyFill="1" applyBorder="1"/>
    <xf numFmtId="164" fontId="4" fillId="2" borderId="0" xfId="0" applyNumberFormat="1" applyFont="1" applyFill="1"/>
    <xf numFmtId="43" fontId="0" fillId="2" borderId="3" xfId="1" applyFont="1" applyFill="1" applyBorder="1"/>
    <xf numFmtId="0" fontId="4" fillId="2" borderId="0" xfId="0" applyFont="1" applyFill="1" applyAlignment="1">
      <alignment horizontal="right"/>
    </xf>
    <xf numFmtId="43" fontId="4" fillId="2" borderId="0" xfId="0" applyNumberFormat="1" applyFont="1" applyFill="1"/>
    <xf numFmtId="43" fontId="3" fillId="2" borderId="0" xfId="1" applyFont="1" applyFill="1"/>
    <xf numFmtId="43" fontId="9" fillId="2" borderId="0" xfId="1" applyFont="1" applyFill="1"/>
    <xf numFmtId="0" fontId="2" fillId="3" borderId="0" xfId="0" applyFont="1" applyFill="1" applyAlignment="1"/>
    <xf numFmtId="43" fontId="4" fillId="2" borderId="3" xfId="1" applyFont="1" applyFill="1" applyBorder="1"/>
    <xf numFmtId="43" fontId="0" fillId="2" borderId="0" xfId="1" applyFont="1" applyFill="1" applyBorder="1"/>
    <xf numFmtId="0" fontId="1" fillId="2" borderId="3" xfId="0" applyFont="1" applyFill="1" applyBorder="1"/>
    <xf numFmtId="0" fontId="10" fillId="2" borderId="0" xfId="0" applyFont="1" applyFill="1" applyAlignment="1">
      <alignment horizontal="right"/>
    </xf>
    <xf numFmtId="165" fontId="1" fillId="2" borderId="0" xfId="0" applyNumberFormat="1" applyFont="1" applyFill="1"/>
    <xf numFmtId="0" fontId="11" fillId="2" borderId="0" xfId="0" applyFont="1" applyFill="1" applyAlignment="1">
      <alignment horizontal="right"/>
    </xf>
    <xf numFmtId="10" fontId="1" fillId="2" borderId="0" xfId="2" applyNumberFormat="1" applyFont="1" applyFill="1"/>
    <xf numFmtId="10" fontId="1" fillId="2" borderId="3" xfId="0" applyNumberFormat="1" applyFont="1" applyFill="1" applyBorder="1"/>
    <xf numFmtId="43" fontId="0" fillId="4" borderId="3" xfId="1" applyFont="1" applyFill="1" applyBorder="1"/>
    <xf numFmtId="43" fontId="4" fillId="4" borderId="0" xfId="0" applyNumberFormat="1" applyFont="1" applyFill="1"/>
    <xf numFmtId="0" fontId="4" fillId="4" borderId="0" xfId="0" applyFont="1" applyFill="1"/>
    <xf numFmtId="0" fontId="1" fillId="4" borderId="0" xfId="0" applyFont="1" applyFill="1"/>
    <xf numFmtId="43" fontId="4" fillId="5" borderId="4" xfId="0" applyNumberFormat="1" applyFont="1" applyFill="1" applyBorder="1"/>
    <xf numFmtId="0" fontId="2" fillId="3" borderId="0" xfId="0" applyFont="1" applyFill="1" applyAlignment="1">
      <alignment horizontal="center"/>
    </xf>
    <xf numFmtId="43" fontId="2" fillId="3" borderId="0" xfId="1" applyFont="1" applyFill="1" applyAlignment="1">
      <alignment horizontal="center"/>
    </xf>
    <xf numFmtId="0" fontId="12" fillId="2" borderId="0" xfId="0" applyFont="1" applyFill="1"/>
    <xf numFmtId="43" fontId="1" fillId="2" borderId="3" xfId="1" applyFont="1" applyFill="1" applyBorder="1"/>
    <xf numFmtId="0" fontId="0" fillId="2" borderId="0" xfId="0" applyFont="1" applyFill="1"/>
    <xf numFmtId="0" fontId="14" fillId="0" borderId="0" xfId="4" applyFont="1"/>
    <xf numFmtId="0" fontId="13" fillId="0" borderId="0" xfId="4"/>
    <xf numFmtId="0" fontId="15" fillId="0" borderId="0" xfId="4" applyFont="1"/>
    <xf numFmtId="0" fontId="16" fillId="0" borderId="0" xfId="4" applyFont="1"/>
    <xf numFmtId="0" fontId="17" fillId="0" borderId="0" xfId="4" applyFont="1"/>
    <xf numFmtId="0" fontId="16" fillId="6" borderId="5" xfId="4" applyFont="1" applyFill="1" applyBorder="1" applyAlignment="1">
      <alignment horizontal="right" vertical="center" wrapText="1"/>
    </xf>
    <xf numFmtId="0" fontId="15" fillId="7" borderId="5" xfId="4" applyFont="1" applyFill="1" applyBorder="1" applyAlignment="1">
      <alignment horizontal="center" vertical="top" wrapText="1"/>
    </xf>
    <xf numFmtId="0" fontId="15" fillId="6" borderId="5" xfId="4" applyFont="1" applyFill="1" applyBorder="1" applyAlignment="1">
      <alignment horizontal="center" vertical="center" wrapText="1"/>
    </xf>
    <xf numFmtId="0" fontId="17" fillId="6" borderId="5" xfId="4" applyFont="1" applyFill="1" applyBorder="1" applyAlignment="1">
      <alignment horizontal="center" vertical="center" wrapText="1"/>
    </xf>
    <xf numFmtId="0" fontId="16" fillId="8" borderId="5" xfId="4" applyFont="1" applyFill="1" applyBorder="1" applyAlignment="1">
      <alignment horizontal="right" vertical="center" wrapText="1"/>
    </xf>
    <xf numFmtId="0" fontId="16" fillId="8" borderId="5" xfId="4" applyFont="1" applyFill="1" applyBorder="1" applyAlignment="1">
      <alignment horizontal="center" vertical="center" wrapText="1"/>
    </xf>
    <xf numFmtId="166" fontId="16" fillId="0" borderId="5" xfId="4" applyNumberFormat="1" applyFont="1" applyBorder="1" applyAlignment="1">
      <alignment horizontal="right" vertical="center"/>
    </xf>
    <xf numFmtId="167" fontId="15" fillId="0" borderId="5" xfId="4" applyNumberFormat="1" applyFont="1" applyBorder="1" applyAlignment="1">
      <alignment horizontal="right" vertical="center"/>
    </xf>
    <xf numFmtId="168" fontId="16" fillId="0" borderId="5" xfId="4" applyNumberFormat="1" applyFont="1" applyBorder="1" applyAlignment="1">
      <alignment horizontal="right" vertical="center"/>
    </xf>
    <xf numFmtId="169" fontId="16" fillId="0" borderId="5" xfId="4" applyNumberFormat="1" applyFont="1" applyBorder="1" applyAlignment="1">
      <alignment horizontal="right" vertical="center"/>
    </xf>
    <xf numFmtId="170" fontId="16" fillId="0" borderId="5" xfId="4" applyNumberFormat="1" applyFont="1" applyBorder="1" applyAlignment="1">
      <alignment horizontal="right" vertical="center"/>
    </xf>
    <xf numFmtId="171" fontId="16" fillId="0" borderId="5" xfId="4" applyNumberFormat="1" applyFont="1" applyBorder="1" applyAlignment="1">
      <alignment horizontal="right" vertical="center"/>
    </xf>
    <xf numFmtId="172" fontId="16" fillId="0" borderId="5" xfId="4" applyNumberFormat="1" applyFont="1" applyBorder="1" applyAlignment="1">
      <alignment horizontal="right" vertical="center"/>
    </xf>
    <xf numFmtId="173" fontId="16" fillId="0" borderId="5" xfId="4" applyNumberFormat="1" applyFont="1" applyBorder="1" applyAlignment="1">
      <alignment horizontal="right" vertical="center"/>
    </xf>
    <xf numFmtId="174" fontId="16" fillId="0" borderId="5" xfId="4" applyNumberFormat="1" applyFont="1" applyBorder="1" applyAlignment="1">
      <alignment horizontal="right" vertical="center"/>
    </xf>
    <xf numFmtId="175" fontId="16" fillId="0" borderId="5" xfId="4" applyNumberFormat="1" applyFont="1" applyBorder="1" applyAlignment="1">
      <alignment horizontal="right" vertical="center"/>
    </xf>
    <xf numFmtId="176" fontId="16" fillId="0" borderId="5" xfId="4" applyNumberFormat="1" applyFont="1" applyBorder="1" applyAlignment="1">
      <alignment horizontal="right" vertical="center"/>
    </xf>
    <xf numFmtId="177" fontId="16" fillId="0" borderId="5" xfId="4" applyNumberFormat="1" applyFont="1" applyBorder="1" applyAlignment="1">
      <alignment horizontal="right" vertical="center"/>
    </xf>
    <xf numFmtId="178" fontId="16" fillId="0" borderId="5" xfId="4" applyNumberFormat="1" applyFont="1" applyBorder="1" applyAlignment="1">
      <alignment horizontal="right" vertical="center"/>
    </xf>
    <xf numFmtId="165" fontId="0" fillId="2" borderId="0" xfId="1" applyNumberFormat="1" applyFont="1" applyFill="1"/>
    <xf numFmtId="165" fontId="0" fillId="2" borderId="3" xfId="1" applyNumberFormat="1" applyFont="1" applyFill="1" applyBorder="1"/>
    <xf numFmtId="43" fontId="4" fillId="9" borderId="5" xfId="1" applyFont="1" applyFill="1" applyBorder="1"/>
    <xf numFmtId="43" fontId="0" fillId="2" borderId="0" xfId="1" applyFont="1" applyFill="1" applyAlignment="1">
      <alignment horizontal="right"/>
    </xf>
    <xf numFmtId="43" fontId="4" fillId="2" borderId="0" xfId="1" applyFont="1" applyFill="1" applyAlignment="1">
      <alignment horizontal="right"/>
    </xf>
    <xf numFmtId="43" fontId="18" fillId="3" borderId="0" xfId="1" applyFont="1" applyFill="1" applyAlignment="1">
      <alignment horizontal="center"/>
    </xf>
    <xf numFmtId="179" fontId="0" fillId="2" borderId="0" xfId="1" applyNumberFormat="1" applyFont="1" applyFill="1" applyAlignment="1">
      <alignment horizontal="center" vertical="center"/>
    </xf>
    <xf numFmtId="165" fontId="4" fillId="2" borderId="0" xfId="0" applyNumberFormat="1" applyFont="1" applyFill="1"/>
    <xf numFmtId="43" fontId="4" fillId="9" borderId="6" xfId="1" applyFont="1" applyFill="1" applyBorder="1"/>
    <xf numFmtId="179" fontId="0" fillId="2" borderId="3" xfId="1" applyNumberFormat="1" applyFont="1" applyFill="1" applyBorder="1" applyAlignment="1">
      <alignment horizontal="center" vertical="center"/>
    </xf>
    <xf numFmtId="0" fontId="1" fillId="2" borderId="0" xfId="0" applyFont="1" applyFill="1" applyBorder="1"/>
    <xf numFmtId="43" fontId="1" fillId="10" borderId="0" xfId="0" applyNumberFormat="1" applyFont="1" applyFill="1"/>
    <xf numFmtId="43" fontId="1" fillId="4" borderId="3" xfId="0" applyNumberFormat="1" applyFont="1" applyFill="1" applyBorder="1"/>
    <xf numFmtId="0" fontId="2" fillId="3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43" fontId="2" fillId="3" borderId="0" xfId="1" applyFont="1" applyFill="1" applyAlignment="1">
      <alignment horizontal="center"/>
    </xf>
    <xf numFmtId="43" fontId="19" fillId="2" borderId="0" xfId="1" applyFont="1" applyFill="1"/>
    <xf numFmtId="43" fontId="4" fillId="11" borderId="0" xfId="1" applyFont="1" applyFill="1"/>
    <xf numFmtId="43" fontId="0" fillId="12" borderId="0" xfId="1" applyFont="1" applyFill="1"/>
    <xf numFmtId="43" fontId="4" fillId="11" borderId="0" xfId="0" applyNumberFormat="1" applyFont="1" applyFill="1"/>
    <xf numFmtId="0" fontId="1" fillId="13" borderId="0" xfId="0" applyFont="1" applyFill="1"/>
    <xf numFmtId="43" fontId="1" fillId="13" borderId="0" xfId="0" applyNumberFormat="1" applyFont="1" applyFill="1"/>
    <xf numFmtId="43" fontId="0" fillId="13" borderId="0" xfId="1" applyFont="1" applyFill="1"/>
    <xf numFmtId="0" fontId="1" fillId="13" borderId="0" xfId="0" applyFont="1" applyFill="1" applyAlignment="1">
      <alignment horizontal="right"/>
    </xf>
    <xf numFmtId="43" fontId="1" fillId="13" borderId="3" xfId="0" applyNumberFormat="1" applyFont="1" applyFill="1" applyBorder="1"/>
    <xf numFmtId="0" fontId="4" fillId="13" borderId="0" xfId="0" applyFont="1" applyFill="1" applyAlignment="1">
      <alignment horizontal="right"/>
    </xf>
    <xf numFmtId="0" fontId="4" fillId="13" borderId="0" xfId="0" applyFont="1" applyFill="1"/>
    <xf numFmtId="43" fontId="4" fillId="13" borderId="0" xfId="0" applyNumberFormat="1" applyFont="1" applyFill="1"/>
    <xf numFmtId="10" fontId="1" fillId="13" borderId="3" xfId="2" applyNumberFormat="1" applyFont="1" applyFill="1" applyBorder="1"/>
    <xf numFmtId="43" fontId="1" fillId="13" borderId="0" xfId="0" applyNumberFormat="1" applyFont="1" applyFill="1" applyBorder="1"/>
    <xf numFmtId="43" fontId="9" fillId="13" borderId="0" xfId="1" applyFont="1" applyFill="1"/>
    <xf numFmtId="0" fontId="11" fillId="13" borderId="0" xfId="0" applyFont="1" applyFill="1" applyAlignment="1">
      <alignment horizontal="right"/>
    </xf>
    <xf numFmtId="0" fontId="1" fillId="13" borderId="3" xfId="0" applyFont="1" applyFill="1" applyBorder="1"/>
    <xf numFmtId="0" fontId="11" fillId="12" borderId="0" xfId="0" applyFont="1" applyFill="1" applyAlignment="1">
      <alignment horizontal="right"/>
    </xf>
    <xf numFmtId="0" fontId="4" fillId="12" borderId="0" xfId="0" applyFont="1" applyFill="1"/>
    <xf numFmtId="43" fontId="4" fillId="12" borderId="0" xfId="0" applyNumberFormat="1" applyFont="1" applyFill="1"/>
    <xf numFmtId="0" fontId="1" fillId="12" borderId="0" xfId="0" applyFont="1" applyFill="1"/>
    <xf numFmtId="43" fontId="4" fillId="4" borderId="0" xfId="1" applyFont="1" applyFill="1"/>
    <xf numFmtId="0" fontId="1" fillId="4" borderId="0" xfId="0" applyFont="1" applyFill="1" applyAlignment="1">
      <alignment horizontal="right"/>
    </xf>
    <xf numFmtId="10" fontId="1" fillId="4" borderId="3" xfId="2" applyNumberFormat="1" applyFont="1" applyFill="1" applyBorder="1"/>
    <xf numFmtId="0" fontId="4" fillId="4" borderId="0" xfId="0" applyFont="1" applyFill="1" applyAlignment="1">
      <alignment horizontal="right"/>
    </xf>
    <xf numFmtId="0" fontId="10" fillId="13" borderId="0" xfId="0" applyFont="1" applyFill="1" applyAlignment="1">
      <alignment horizontal="right"/>
    </xf>
    <xf numFmtId="165" fontId="1" fillId="13" borderId="0" xfId="0" applyNumberFormat="1" applyFont="1" applyFill="1"/>
    <xf numFmtId="10" fontId="1" fillId="13" borderId="0" xfId="2" applyNumberFormat="1" applyFont="1" applyFill="1"/>
    <xf numFmtId="10" fontId="1" fillId="13" borderId="3" xfId="0" applyNumberFormat="1" applyFont="1" applyFill="1" applyBorder="1"/>
    <xf numFmtId="0" fontId="2" fillId="3" borderId="0" xfId="0" applyFont="1" applyFill="1" applyAlignment="1">
      <alignment horizontal="center"/>
    </xf>
    <xf numFmtId="164" fontId="4" fillId="5" borderId="4" xfId="0" applyNumberFormat="1" applyFont="1" applyFill="1" applyBorder="1"/>
    <xf numFmtId="0" fontId="9" fillId="2" borderId="0" xfId="0" applyFont="1" applyFill="1"/>
    <xf numFmtId="43" fontId="9" fillId="4" borderId="0" xfId="0" applyNumberFormat="1" applyFont="1" applyFill="1"/>
    <xf numFmtId="43" fontId="0" fillId="3" borderId="0" xfId="1" applyFont="1" applyFill="1"/>
    <xf numFmtId="165" fontId="4" fillId="5" borderId="4" xfId="0" applyNumberFormat="1" applyFont="1" applyFill="1" applyBorder="1"/>
    <xf numFmtId="43" fontId="4" fillId="2" borderId="0" xfId="1" applyFont="1" applyFill="1" applyAlignment="1">
      <alignment horizontal="center"/>
    </xf>
    <xf numFmtId="179" fontId="0" fillId="2" borderId="0" xfId="1" applyNumberFormat="1" applyFont="1" applyFill="1"/>
    <xf numFmtId="43" fontId="4" fillId="13" borderId="0" xfId="1" applyFont="1" applyFill="1"/>
    <xf numFmtId="43" fontId="20" fillId="2" borderId="0" xfId="1" applyFont="1" applyFill="1"/>
    <xf numFmtId="0" fontId="21" fillId="2" borderId="0" xfId="0" applyFont="1" applyFill="1" applyBorder="1" applyAlignment="1">
      <alignment horizontal="right"/>
    </xf>
    <xf numFmtId="43" fontId="19" fillId="2" borderId="0" xfId="1" applyFont="1" applyFill="1" applyBorder="1"/>
    <xf numFmtId="43" fontId="21" fillId="2" borderId="0" xfId="1" applyFont="1" applyFill="1" applyBorder="1"/>
    <xf numFmtId="0" fontId="22" fillId="2" borderId="0" xfId="0" applyFont="1" applyFill="1" applyBorder="1" applyAlignment="1">
      <alignment horizontal="right"/>
    </xf>
    <xf numFmtId="0" fontId="19" fillId="2" borderId="0" xfId="0" applyFont="1" applyFill="1" applyBorder="1" applyAlignment="1">
      <alignment horizontal="center"/>
    </xf>
    <xf numFmtId="0" fontId="21" fillId="2" borderId="0" xfId="0" applyFont="1" applyFill="1" applyBorder="1"/>
    <xf numFmtId="43" fontId="21" fillId="2" borderId="0" xfId="0" applyNumberFormat="1" applyFont="1" applyFill="1" applyBorder="1"/>
    <xf numFmtId="0" fontId="23" fillId="2" borderId="0" xfId="0" applyFont="1" applyFill="1" applyBorder="1" applyAlignment="1">
      <alignment horizontal="right"/>
    </xf>
    <xf numFmtId="165" fontId="21" fillId="2" borderId="0" xfId="0" applyNumberFormat="1" applyFont="1" applyFill="1" applyBorder="1"/>
    <xf numFmtId="0" fontId="0" fillId="2" borderId="0" xfId="0" applyFill="1"/>
    <xf numFmtId="44" fontId="0" fillId="2" borderId="0" xfId="5" applyFont="1" applyFill="1"/>
    <xf numFmtId="9" fontId="0" fillId="2" borderId="0" xfId="2" applyFont="1" applyFill="1"/>
    <xf numFmtId="165" fontId="4" fillId="5" borderId="5" xfId="1" applyNumberFormat="1" applyFont="1" applyFill="1" applyBorder="1"/>
    <xf numFmtId="43" fontId="2" fillId="15" borderId="0" xfId="1" applyFont="1" applyFill="1" applyAlignment="1">
      <alignment horizontal="center"/>
    </xf>
    <xf numFmtId="43" fontId="2" fillId="16" borderId="0" xfId="1" applyFont="1" applyFill="1" applyAlignment="1">
      <alignment horizontal="center"/>
    </xf>
    <xf numFmtId="43" fontId="2" fillId="14" borderId="0" xfId="1" applyFont="1" applyFill="1" applyAlignment="1">
      <alignment horizontal="center"/>
    </xf>
    <xf numFmtId="43" fontId="4" fillId="5" borderId="5" xfId="1" applyFont="1" applyFill="1" applyBorder="1"/>
    <xf numFmtId="44" fontId="4" fillId="5" borderId="5" xfId="5" applyFont="1" applyFill="1" applyBorder="1"/>
    <xf numFmtId="43" fontId="19" fillId="2" borderId="0" xfId="0" applyNumberFormat="1" applyFont="1" applyFill="1"/>
    <xf numFmtId="17" fontId="1" fillId="2" borderId="0" xfId="0" applyNumberFormat="1" applyFont="1" applyFill="1" applyAlignment="1">
      <alignment horizontal="center"/>
    </xf>
    <xf numFmtId="9" fontId="1" fillId="2" borderId="0" xfId="2" applyFont="1" applyFill="1" applyAlignment="1">
      <alignment horizontal="center"/>
    </xf>
    <xf numFmtId="180" fontId="1" fillId="2" borderId="0" xfId="0" applyNumberFormat="1" applyFont="1" applyFill="1"/>
    <xf numFmtId="0" fontId="4" fillId="2" borderId="0" xfId="0" applyFont="1" applyFill="1" applyAlignment="1">
      <alignment horizontal="center"/>
    </xf>
    <xf numFmtId="44" fontId="4" fillId="5" borderId="0" xfId="5" applyFont="1" applyFill="1"/>
    <xf numFmtId="164" fontId="4" fillId="13" borderId="0" xfId="0" applyNumberFormat="1" applyFont="1" applyFill="1"/>
    <xf numFmtId="165" fontId="1" fillId="13" borderId="3" xfId="0" applyNumberFormat="1" applyFont="1" applyFill="1" applyBorder="1"/>
    <xf numFmtId="43" fontId="2" fillId="3" borderId="0" xfId="1" applyFont="1" applyFill="1" applyAlignment="1">
      <alignment horizontal="center"/>
    </xf>
    <xf numFmtId="43" fontId="4" fillId="4" borderId="3" xfId="1" applyFont="1" applyFill="1" applyBorder="1"/>
    <xf numFmtId="0" fontId="6" fillId="17" borderId="2" xfId="3" applyFont="1" applyFill="1" applyBorder="1" applyAlignment="1">
      <alignment horizontal="center" vertical="center" wrapText="1"/>
    </xf>
    <xf numFmtId="0" fontId="6" fillId="17" borderId="0" xfId="3" applyFont="1" applyFill="1" applyAlignment="1">
      <alignment horizontal="center" vertical="center" wrapText="1"/>
    </xf>
    <xf numFmtId="0" fontId="24" fillId="2" borderId="0" xfId="3" applyFont="1" applyFill="1"/>
    <xf numFmtId="4" fontId="7" fillId="4" borderId="0" xfId="3" applyNumberFormat="1" applyFont="1" applyFill="1" applyAlignment="1">
      <alignment horizontal="center" vertical="center" wrapText="1"/>
    </xf>
    <xf numFmtId="0" fontId="7" fillId="4" borderId="0" xfId="3" applyFont="1" applyFill="1" applyAlignment="1">
      <alignment horizontal="center" vertical="center" wrapText="1"/>
    </xf>
    <xf numFmtId="166" fontId="26" fillId="0" borderId="5" xfId="4" applyNumberFormat="1" applyFont="1" applyBorder="1" applyAlignment="1">
      <alignment horizontal="right" vertical="center"/>
    </xf>
    <xf numFmtId="167" fontId="25" fillId="0" borderId="5" xfId="4" applyNumberFormat="1" applyFont="1" applyBorder="1" applyAlignment="1">
      <alignment horizontal="right" vertical="center"/>
    </xf>
    <xf numFmtId="168" fontId="26" fillId="0" borderId="5" xfId="4" applyNumberFormat="1" applyFont="1" applyBorder="1" applyAlignment="1">
      <alignment horizontal="right" vertical="center"/>
    </xf>
    <xf numFmtId="169" fontId="26" fillId="0" borderId="5" xfId="4" applyNumberFormat="1" applyFont="1" applyBorder="1" applyAlignment="1">
      <alignment horizontal="right" vertical="center"/>
    </xf>
    <xf numFmtId="170" fontId="26" fillId="0" borderId="5" xfId="4" applyNumberFormat="1" applyFont="1" applyBorder="1" applyAlignment="1">
      <alignment horizontal="right" vertical="center"/>
    </xf>
    <xf numFmtId="171" fontId="26" fillId="0" borderId="5" xfId="4" applyNumberFormat="1" applyFont="1" applyBorder="1" applyAlignment="1">
      <alignment horizontal="right" vertical="center"/>
    </xf>
    <xf numFmtId="172" fontId="26" fillId="0" borderId="5" xfId="4" applyNumberFormat="1" applyFont="1" applyBorder="1" applyAlignment="1">
      <alignment horizontal="right" vertical="center"/>
    </xf>
    <xf numFmtId="173" fontId="26" fillId="0" borderId="5" xfId="4" applyNumberFormat="1" applyFont="1" applyBorder="1" applyAlignment="1">
      <alignment horizontal="right" vertical="center"/>
    </xf>
    <xf numFmtId="174" fontId="26" fillId="0" borderId="5" xfId="4" applyNumberFormat="1" applyFont="1" applyBorder="1" applyAlignment="1">
      <alignment horizontal="right" vertical="center"/>
    </xf>
    <xf numFmtId="175" fontId="26" fillId="0" borderId="5" xfId="4" applyNumberFormat="1" applyFont="1" applyBorder="1" applyAlignment="1">
      <alignment horizontal="right" vertical="center"/>
    </xf>
    <xf numFmtId="176" fontId="26" fillId="0" borderId="5" xfId="4" applyNumberFormat="1" applyFont="1" applyBorder="1" applyAlignment="1">
      <alignment horizontal="right" vertical="center"/>
    </xf>
    <xf numFmtId="177" fontId="26" fillId="0" borderId="5" xfId="4" applyNumberFormat="1" applyFont="1" applyBorder="1" applyAlignment="1">
      <alignment horizontal="right" vertical="center"/>
    </xf>
    <xf numFmtId="178" fontId="26" fillId="0" borderId="5" xfId="4" applyNumberFormat="1" applyFont="1" applyBorder="1" applyAlignment="1">
      <alignment horizontal="right" vertical="center"/>
    </xf>
    <xf numFmtId="2" fontId="27" fillId="3" borderId="5" xfId="0" applyNumberFormat="1" applyFont="1" applyFill="1" applyBorder="1" applyAlignment="1">
      <alignment horizontal="justify"/>
    </xf>
    <xf numFmtId="2" fontId="27" fillId="3" borderId="5" xfId="0" applyNumberFormat="1" applyFont="1" applyFill="1" applyBorder="1" applyAlignment="1">
      <alignment horizontal="justify" vertical="center"/>
    </xf>
    <xf numFmtId="2" fontId="27" fillId="3" borderId="5" xfId="0" applyNumberFormat="1" applyFont="1" applyFill="1" applyBorder="1" applyAlignment="1">
      <alignment horizontal="center" vertical="center"/>
    </xf>
    <xf numFmtId="43" fontId="4" fillId="2" borderId="6" xfId="1" applyFont="1" applyFill="1" applyBorder="1"/>
    <xf numFmtId="9" fontId="0" fillId="2" borderId="3" xfId="2" applyFont="1" applyFill="1" applyBorder="1"/>
    <xf numFmtId="44" fontId="4" fillId="2" borderId="0" xfId="5" applyFont="1" applyFill="1"/>
    <xf numFmtId="181" fontId="4" fillId="0" borderId="0" xfId="6" applyNumberFormat="1" applyFont="1"/>
    <xf numFmtId="0" fontId="2" fillId="3" borderId="0" xfId="0" applyFont="1" applyFill="1" applyAlignment="1">
      <alignment horizontal="center"/>
    </xf>
    <xf numFmtId="44" fontId="9" fillId="5" borderId="0" xfId="5" applyFont="1" applyFill="1"/>
    <xf numFmtId="0" fontId="2" fillId="3" borderId="0" xfId="0" applyFont="1" applyFill="1" applyAlignment="1">
      <alignment horizontal="center"/>
    </xf>
    <xf numFmtId="43" fontId="2" fillId="3" borderId="0" xfId="1" applyFont="1" applyFill="1" applyAlignment="1">
      <alignment horizontal="center"/>
    </xf>
    <xf numFmtId="0" fontId="19" fillId="2" borderId="0" xfId="0" applyFont="1" applyFill="1" applyBorder="1" applyAlignment="1">
      <alignment horizontal="center"/>
    </xf>
    <xf numFmtId="2" fontId="2" fillId="3" borderId="5" xfId="0" applyNumberFormat="1" applyFont="1" applyFill="1" applyBorder="1" applyAlignment="1">
      <alignment horizontal="center"/>
    </xf>
    <xf numFmtId="0" fontId="4" fillId="2" borderId="2" xfId="3" applyFont="1" applyFill="1" applyBorder="1" applyAlignment="1">
      <alignment horizontal="center"/>
    </xf>
    <xf numFmtId="0" fontId="6" fillId="3" borderId="1" xfId="3" applyFont="1" applyFill="1" applyBorder="1" applyAlignment="1">
      <alignment horizontal="left" vertical="center" wrapText="1"/>
    </xf>
    <xf numFmtId="0" fontId="4" fillId="2" borderId="0" xfId="3" applyFont="1" applyFill="1" applyAlignment="1">
      <alignment horizontal="center"/>
    </xf>
  </cellXfs>
  <cellStyles count="7">
    <cellStyle name="Millares" xfId="1" builtinId="3"/>
    <cellStyle name="Millares 2" xfId="6" xr:uid="{024990C7-E189-4840-A4D3-56C7FD089604}"/>
    <cellStyle name="Moneda" xfId="5" builtinId="4"/>
    <cellStyle name="Normal" xfId="0" builtinId="0"/>
    <cellStyle name="Normal 2" xfId="3" xr:uid="{1E81C2AF-0E44-482D-BE45-3C66620C5FB3}"/>
    <cellStyle name="Normal 3" xfId="4" xr:uid="{C60039DA-AC89-4D65-AA31-6DA9DC40AEA7}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161925</xdr:colOff>
      <xdr:row>0</xdr:row>
      <xdr:rowOff>0</xdr:rowOff>
    </xdr:from>
    <xdr:to>
      <xdr:col>3</xdr:col>
      <xdr:colOff>66675</xdr:colOff>
      <xdr:row>8</xdr:row>
      <xdr:rowOff>133350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A2EFCC73-2C3E-4B06-B1E7-65AE205D04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clrChange>
            <a:clrFrom>
              <a:srgbClr val="F2F2F2"/>
            </a:clrFrom>
            <a:clrTo>
              <a:srgbClr val="F2F2F2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4350" y="0"/>
          <a:ext cx="1581150" cy="15811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781050</xdr:colOff>
      <xdr:row>0</xdr:row>
      <xdr:rowOff>0</xdr:rowOff>
    </xdr:from>
    <xdr:to>
      <xdr:col>2</xdr:col>
      <xdr:colOff>742950</xdr:colOff>
      <xdr:row>8</xdr:row>
      <xdr:rowOff>133350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clrChange>
            <a:clrFrom>
              <a:srgbClr val="F2F2F2"/>
            </a:clrFrom>
            <a:clrTo>
              <a:srgbClr val="F2F2F2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1050" y="0"/>
          <a:ext cx="1581150" cy="15811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781050</xdr:colOff>
      <xdr:row>0</xdr:row>
      <xdr:rowOff>0</xdr:rowOff>
    </xdr:from>
    <xdr:to>
      <xdr:col>2</xdr:col>
      <xdr:colOff>742950</xdr:colOff>
      <xdr:row>8</xdr:row>
      <xdr:rowOff>133350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clrChange>
            <a:clrFrom>
              <a:srgbClr val="F2F2F2"/>
            </a:clrFrom>
            <a:clrTo>
              <a:srgbClr val="F2F2F2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5275" y="0"/>
          <a:ext cx="1581150" cy="1581150"/>
        </a:xfrm>
        <a:prstGeom prst="rect">
          <a:avLst/>
        </a:prstGeom>
      </xdr:spPr>
    </xdr:pic>
    <xdr:clientData/>
  </xdr:twoCellAnchor>
  <xdr:twoCellAnchor>
    <xdr:from>
      <xdr:col>11</xdr:col>
      <xdr:colOff>90489</xdr:colOff>
      <xdr:row>77</xdr:row>
      <xdr:rowOff>57149</xdr:rowOff>
    </xdr:from>
    <xdr:to>
      <xdr:col>15</xdr:col>
      <xdr:colOff>9528</xdr:colOff>
      <xdr:row>78</xdr:row>
      <xdr:rowOff>104773</xdr:rowOff>
    </xdr:to>
    <xdr:sp macro="" textlink="">
      <xdr:nvSpPr>
        <xdr:cNvPr id="4" name="Abrir llav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 rot="16200000">
          <a:off x="10432259" y="13118304"/>
          <a:ext cx="228599" cy="3309939"/>
        </a:xfrm>
        <a:prstGeom prst="lef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s-MX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781050</xdr:colOff>
      <xdr:row>0</xdr:row>
      <xdr:rowOff>0</xdr:rowOff>
    </xdr:from>
    <xdr:to>
      <xdr:col>2</xdr:col>
      <xdr:colOff>742950</xdr:colOff>
      <xdr:row>8</xdr:row>
      <xdr:rowOff>133350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clrChange>
            <a:clrFrom>
              <a:srgbClr val="F2F2F2"/>
            </a:clrFrom>
            <a:clrTo>
              <a:srgbClr val="F2F2F2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5275" y="0"/>
          <a:ext cx="1581150" cy="158115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781050</xdr:colOff>
      <xdr:row>0</xdr:row>
      <xdr:rowOff>0</xdr:rowOff>
    </xdr:from>
    <xdr:to>
      <xdr:col>2</xdr:col>
      <xdr:colOff>742950</xdr:colOff>
      <xdr:row>8</xdr:row>
      <xdr:rowOff>133350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clrChange>
            <a:clrFrom>
              <a:srgbClr val="F2F2F2"/>
            </a:clrFrom>
            <a:clrTo>
              <a:srgbClr val="F2F2F2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5275" y="0"/>
          <a:ext cx="1581150" cy="158115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2</xdr:col>
      <xdr:colOff>638175</xdr:colOff>
      <xdr:row>8</xdr:row>
      <xdr:rowOff>133350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clrChange>
            <a:clrFrom>
              <a:srgbClr val="F2F2F2"/>
            </a:clrFrom>
            <a:clrTo>
              <a:srgbClr val="F2F2F2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1475" y="0"/>
          <a:ext cx="1581150" cy="158115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2</xdr:col>
      <xdr:colOff>638175</xdr:colOff>
      <xdr:row>8</xdr:row>
      <xdr:rowOff>133350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A943858-1DA5-4FF2-A36A-423A297AE3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clrChange>
            <a:clrFrom>
              <a:srgbClr val="F2F2F2"/>
            </a:clrFrom>
            <a:clrTo>
              <a:srgbClr val="F2F2F2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1475" y="0"/>
          <a:ext cx="1581150" cy="15811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13E34E-744C-4876-B857-D2822F997789}">
  <sheetPr>
    <tabColor rgb="FFC00000"/>
  </sheetPr>
  <dimension ref="A10:Q152"/>
  <sheetViews>
    <sheetView tabSelected="1" workbookViewId="0">
      <selection activeCell="B20" sqref="B20:D20"/>
    </sheetView>
  </sheetViews>
  <sheetFormatPr baseColWidth="10" defaultRowHeight="14.25" x14ac:dyDescent="0.2"/>
  <cols>
    <col min="1" max="1" width="4.625" style="1" customWidth="1"/>
    <col min="2" max="16384" width="11" style="1"/>
  </cols>
  <sheetData>
    <row r="10" spans="2:7" ht="15" x14ac:dyDescent="0.25">
      <c r="B10" s="89" t="s">
        <v>224</v>
      </c>
    </row>
    <row r="12" spans="2:7" ht="15" x14ac:dyDescent="0.25">
      <c r="B12" s="29" t="s">
        <v>225</v>
      </c>
    </row>
    <row r="13" spans="2:7" ht="15" x14ac:dyDescent="0.25">
      <c r="B13" s="183" t="s">
        <v>24</v>
      </c>
      <c r="C13" s="183"/>
      <c r="D13" s="183"/>
      <c r="E13" s="86">
        <v>2019</v>
      </c>
      <c r="F13" s="86">
        <v>2020</v>
      </c>
      <c r="G13" s="86">
        <v>2021</v>
      </c>
    </row>
    <row r="14" spans="2:7" x14ac:dyDescent="0.2">
      <c r="B14" s="12" t="s">
        <v>25</v>
      </c>
      <c r="C14" s="12"/>
      <c r="D14" s="12"/>
      <c r="E14" s="13">
        <v>102.68</v>
      </c>
      <c r="F14" s="13">
        <v>123.22</v>
      </c>
      <c r="G14" s="19">
        <v>141.69999999999999</v>
      </c>
    </row>
    <row r="15" spans="2:7" x14ac:dyDescent="0.2">
      <c r="B15" s="12" t="s">
        <v>26</v>
      </c>
      <c r="C15" s="12"/>
      <c r="D15" s="12"/>
      <c r="E15" s="13">
        <v>176.72</v>
      </c>
      <c r="F15" s="13">
        <v>185.56</v>
      </c>
      <c r="G15" s="19">
        <v>213.39</v>
      </c>
    </row>
    <row r="16" spans="2:7" x14ac:dyDescent="0.2">
      <c r="B16" s="12" t="s">
        <v>28</v>
      </c>
      <c r="C16" s="12"/>
      <c r="D16" s="12"/>
      <c r="E16" s="13">
        <v>84.49</v>
      </c>
      <c r="F16" s="13">
        <v>86.88</v>
      </c>
      <c r="G16" s="19">
        <v>89.62</v>
      </c>
    </row>
    <row r="17" spans="1:16" x14ac:dyDescent="0.2">
      <c r="B17" s="12" t="s">
        <v>29</v>
      </c>
      <c r="C17" s="12"/>
      <c r="D17" s="12"/>
      <c r="E17" s="16">
        <v>30822</v>
      </c>
      <c r="F17" s="16">
        <v>31693.8</v>
      </c>
      <c r="G17" s="19">
        <v>32693.4</v>
      </c>
    </row>
    <row r="20" spans="1:16" ht="15" x14ac:dyDescent="0.25">
      <c r="B20" s="183" t="s">
        <v>34</v>
      </c>
      <c r="C20" s="183"/>
      <c r="D20" s="183" t="s">
        <v>31</v>
      </c>
      <c r="E20" s="86" t="s">
        <v>33</v>
      </c>
      <c r="F20" s="86" t="s">
        <v>32</v>
      </c>
      <c r="G20" s="86" t="s">
        <v>31</v>
      </c>
    </row>
    <row r="21" spans="1:16" x14ac:dyDescent="0.2">
      <c r="B21" s="1" t="s">
        <v>30</v>
      </c>
      <c r="E21" s="1">
        <v>4350</v>
      </c>
      <c r="F21" s="1">
        <v>4350</v>
      </c>
      <c r="G21" s="19">
        <v>4350</v>
      </c>
    </row>
    <row r="22" spans="1:16" x14ac:dyDescent="0.2">
      <c r="B22" s="1" t="s">
        <v>27</v>
      </c>
      <c r="E22" s="1">
        <f>+E21/30</f>
        <v>145</v>
      </c>
      <c r="F22" s="1">
        <f>+F21/30</f>
        <v>145</v>
      </c>
      <c r="G22" s="19">
        <f>+G21/30.4</f>
        <v>143.09210526315789</v>
      </c>
    </row>
    <row r="24" spans="1:16" ht="15" x14ac:dyDescent="0.25">
      <c r="B24" s="29" t="s">
        <v>226</v>
      </c>
    </row>
    <row r="25" spans="1:16" ht="15" x14ac:dyDescent="0.25">
      <c r="B25" s="184" t="s">
        <v>34</v>
      </c>
      <c r="C25" s="184"/>
      <c r="D25" s="21" t="s">
        <v>12</v>
      </c>
      <c r="E25" s="21" t="s">
        <v>16</v>
      </c>
      <c r="F25" s="21" t="s">
        <v>20</v>
      </c>
      <c r="G25" s="21" t="s">
        <v>13</v>
      </c>
      <c r="H25" s="21" t="s">
        <v>17</v>
      </c>
      <c r="I25" s="21" t="s">
        <v>21</v>
      </c>
      <c r="J25" s="21" t="s">
        <v>14</v>
      </c>
      <c r="K25" s="21" t="s">
        <v>18</v>
      </c>
      <c r="L25" s="21" t="s">
        <v>22</v>
      </c>
      <c r="M25" s="21" t="s">
        <v>15</v>
      </c>
      <c r="N25" s="21" t="s">
        <v>19</v>
      </c>
      <c r="O25" s="21" t="s">
        <v>23</v>
      </c>
      <c r="P25" s="86" t="s">
        <v>64</v>
      </c>
    </row>
    <row r="26" spans="1:16" ht="15" x14ac:dyDescent="0.25">
      <c r="A26" s="12"/>
      <c r="B26" s="12" t="s">
        <v>30</v>
      </c>
      <c r="C26" s="12"/>
      <c r="D26" s="1">
        <f>+$G$21</f>
        <v>4350</v>
      </c>
      <c r="E26" s="1">
        <f t="shared" ref="E26:O26" si="0">+$G$21</f>
        <v>4350</v>
      </c>
      <c r="F26" s="1">
        <f t="shared" si="0"/>
        <v>4350</v>
      </c>
      <c r="G26" s="1">
        <f t="shared" si="0"/>
        <v>4350</v>
      </c>
      <c r="H26" s="1">
        <f t="shared" si="0"/>
        <v>4350</v>
      </c>
      <c r="I26" s="1">
        <f t="shared" si="0"/>
        <v>4350</v>
      </c>
      <c r="J26" s="1">
        <f t="shared" si="0"/>
        <v>4350</v>
      </c>
      <c r="K26" s="1">
        <f t="shared" si="0"/>
        <v>4350</v>
      </c>
      <c r="L26" s="1">
        <f t="shared" si="0"/>
        <v>4350</v>
      </c>
      <c r="M26" s="1">
        <f t="shared" si="0"/>
        <v>4350</v>
      </c>
      <c r="N26" s="1">
        <f t="shared" si="0"/>
        <v>4350</v>
      </c>
      <c r="O26" s="1">
        <f t="shared" si="0"/>
        <v>4350</v>
      </c>
      <c r="P26" s="110">
        <f>SUM(D26:O26)</f>
        <v>52200</v>
      </c>
    </row>
    <row r="27" spans="1:16" x14ac:dyDescent="0.2">
      <c r="A27" s="20" t="s">
        <v>42</v>
      </c>
      <c r="B27" s="12" t="s">
        <v>46</v>
      </c>
      <c r="C27" s="12"/>
      <c r="D27" s="25">
        <v>0</v>
      </c>
      <c r="E27" s="25">
        <v>0</v>
      </c>
      <c r="F27" s="25">
        <v>0</v>
      </c>
      <c r="G27" s="25">
        <v>0</v>
      </c>
      <c r="H27" s="39">
        <f>+E44</f>
        <v>7155.7</v>
      </c>
      <c r="I27" s="25">
        <v>0</v>
      </c>
      <c r="J27" s="25">
        <v>0</v>
      </c>
      <c r="K27" s="25">
        <v>0</v>
      </c>
      <c r="L27" s="25">
        <v>0</v>
      </c>
      <c r="M27" s="25">
        <v>0</v>
      </c>
      <c r="N27" s="25">
        <v>0</v>
      </c>
      <c r="O27" s="25">
        <v>0</v>
      </c>
      <c r="P27" s="32"/>
    </row>
    <row r="28" spans="1:16" ht="15" x14ac:dyDescent="0.25">
      <c r="A28" s="26" t="s">
        <v>37</v>
      </c>
      <c r="B28" s="14" t="s">
        <v>35</v>
      </c>
      <c r="C28" s="14"/>
      <c r="D28" s="15">
        <f>+D26+D27</f>
        <v>4350</v>
      </c>
      <c r="E28" s="15">
        <f>+E26+E27</f>
        <v>4350</v>
      </c>
      <c r="F28" s="15">
        <f t="shared" ref="F28:O28" si="1">+F26+F27</f>
        <v>4350</v>
      </c>
      <c r="G28" s="15">
        <f t="shared" si="1"/>
        <v>4350</v>
      </c>
      <c r="H28" s="15">
        <f t="shared" si="1"/>
        <v>11505.7</v>
      </c>
      <c r="I28" s="15">
        <f t="shared" si="1"/>
        <v>4350</v>
      </c>
      <c r="J28" s="15">
        <f t="shared" si="1"/>
        <v>4350</v>
      </c>
      <c r="K28" s="15">
        <f t="shared" si="1"/>
        <v>4350</v>
      </c>
      <c r="L28" s="15">
        <f t="shared" si="1"/>
        <v>4350</v>
      </c>
      <c r="M28" s="15">
        <f t="shared" si="1"/>
        <v>4350</v>
      </c>
      <c r="N28" s="15">
        <f t="shared" si="1"/>
        <v>4350</v>
      </c>
      <c r="O28" s="15">
        <f t="shared" si="1"/>
        <v>4350</v>
      </c>
    </row>
    <row r="29" spans="1:16" x14ac:dyDescent="0.2">
      <c r="A29" s="20" t="s">
        <v>36</v>
      </c>
      <c r="B29" s="12" t="s">
        <v>1</v>
      </c>
      <c r="C29" s="12"/>
      <c r="D29" s="22">
        <f>VLOOKUP(D28,Tarifas!$B$3:$E$16,1)</f>
        <v>644.59</v>
      </c>
      <c r="E29" s="22">
        <f>VLOOKUP(E28,Tarifas!$B$3:$E$16,1)</f>
        <v>644.59</v>
      </c>
      <c r="F29" s="22">
        <f>VLOOKUP(F28,Tarifas!$B$3:$E$16,1)</f>
        <v>644.59</v>
      </c>
      <c r="G29" s="22">
        <f>VLOOKUP(G28,Tarifas!$B$3:$E$16,1)</f>
        <v>644.59</v>
      </c>
      <c r="H29" s="22">
        <f>VLOOKUP(H28,Tarifas!$B$3:$E$16,1)</f>
        <v>11176.63</v>
      </c>
      <c r="I29" s="22">
        <f>VLOOKUP(I28,Tarifas!$B$3:$E$16,1)</f>
        <v>644.59</v>
      </c>
      <c r="J29" s="22">
        <f>VLOOKUP(J28,Tarifas!$B$3:$E$16,1)</f>
        <v>644.59</v>
      </c>
      <c r="K29" s="22">
        <f>VLOOKUP(K28,Tarifas!$B$3:$E$16,1)</f>
        <v>644.59</v>
      </c>
      <c r="L29" s="22">
        <f>VLOOKUP(L28,Tarifas!$B$3:$E$16,1)</f>
        <v>644.59</v>
      </c>
      <c r="M29" s="22">
        <f>VLOOKUP(M28,Tarifas!$B$3:$E$16,1)</f>
        <v>644.59</v>
      </c>
      <c r="N29" s="22">
        <f>VLOOKUP(N28,Tarifas!$B$3:$E$16,1)</f>
        <v>644.59</v>
      </c>
      <c r="O29" s="22">
        <f>VLOOKUP(O28,Tarifas!$B$3:$E$16,1)</f>
        <v>644.59</v>
      </c>
    </row>
    <row r="30" spans="1:16" x14ac:dyDescent="0.2">
      <c r="A30" s="20" t="s">
        <v>37</v>
      </c>
      <c r="B30" s="12" t="s">
        <v>38</v>
      </c>
      <c r="C30" s="12"/>
      <c r="D30" s="16">
        <f>+D28-D29</f>
        <v>3705.41</v>
      </c>
      <c r="E30" s="16">
        <f t="shared" ref="E30:O30" si="2">+E28-E29</f>
        <v>3705.41</v>
      </c>
      <c r="F30" s="16">
        <f t="shared" si="2"/>
        <v>3705.41</v>
      </c>
      <c r="G30" s="16">
        <f t="shared" si="2"/>
        <v>3705.41</v>
      </c>
      <c r="H30" s="16">
        <f t="shared" si="2"/>
        <v>329.07000000000153</v>
      </c>
      <c r="I30" s="16">
        <f t="shared" si="2"/>
        <v>3705.41</v>
      </c>
      <c r="J30" s="16">
        <f t="shared" si="2"/>
        <v>3705.41</v>
      </c>
      <c r="K30" s="16">
        <f t="shared" si="2"/>
        <v>3705.41</v>
      </c>
      <c r="L30" s="16">
        <f t="shared" si="2"/>
        <v>3705.41</v>
      </c>
      <c r="M30" s="16">
        <f t="shared" si="2"/>
        <v>3705.41</v>
      </c>
      <c r="N30" s="16">
        <f t="shared" si="2"/>
        <v>3705.41</v>
      </c>
      <c r="O30" s="16">
        <f t="shared" si="2"/>
        <v>3705.41</v>
      </c>
    </row>
    <row r="31" spans="1:16" x14ac:dyDescent="0.2">
      <c r="A31" s="20" t="s">
        <v>39</v>
      </c>
      <c r="B31" s="12" t="s">
        <v>40</v>
      </c>
      <c r="C31" s="12"/>
      <c r="D31" s="23">
        <f>VLOOKUP(D28,Tarifas!$B$3:$E$16,4)/100</f>
        <v>6.4000000000000001E-2</v>
      </c>
      <c r="E31" s="23">
        <f>VLOOKUP(E28,Tarifas!$B$3:$E$16,4)/100</f>
        <v>6.4000000000000001E-2</v>
      </c>
      <c r="F31" s="23">
        <f>VLOOKUP(F28,Tarifas!$B$3:$E$16,4)/100</f>
        <v>6.4000000000000001E-2</v>
      </c>
      <c r="G31" s="23">
        <f>VLOOKUP(G28,Tarifas!$B$3:$E$16,4)/100</f>
        <v>6.4000000000000001E-2</v>
      </c>
      <c r="H31" s="23">
        <f>VLOOKUP(H28,Tarifas!$B$3:$E$16,4)/100</f>
        <v>0.17920000000000003</v>
      </c>
      <c r="I31" s="23">
        <f>VLOOKUP(I28,Tarifas!$B$3:$E$16,4)/100</f>
        <v>6.4000000000000001E-2</v>
      </c>
      <c r="J31" s="23">
        <f>VLOOKUP(J28,Tarifas!$B$3:$E$16,4)/100</f>
        <v>6.4000000000000001E-2</v>
      </c>
      <c r="K31" s="23">
        <f>VLOOKUP(K28,Tarifas!$B$3:$E$16,4)/100</f>
        <v>6.4000000000000001E-2</v>
      </c>
      <c r="L31" s="23">
        <f>VLOOKUP(L28,Tarifas!$B$3:$E$16,4)/100</f>
        <v>6.4000000000000001E-2</v>
      </c>
      <c r="M31" s="23">
        <f>VLOOKUP(M28,Tarifas!$B$3:$E$16,4)/100</f>
        <v>6.4000000000000001E-2</v>
      </c>
      <c r="N31" s="23">
        <f>VLOOKUP(N28,Tarifas!$B$3:$E$16,4)/100</f>
        <v>6.4000000000000001E-2</v>
      </c>
      <c r="O31" s="23">
        <f>VLOOKUP(O28,Tarifas!$B$3:$E$16,4)/100</f>
        <v>6.4000000000000001E-2</v>
      </c>
    </row>
    <row r="32" spans="1:16" x14ac:dyDescent="0.2">
      <c r="A32" s="20" t="s">
        <v>37</v>
      </c>
      <c r="B32" s="12" t="s">
        <v>41</v>
      </c>
      <c r="C32" s="12"/>
      <c r="D32" s="16">
        <f>+D30*D31</f>
        <v>237.14624000000001</v>
      </c>
      <c r="E32" s="16">
        <f t="shared" ref="E32:O32" si="3">+E30*E31</f>
        <v>237.14624000000001</v>
      </c>
      <c r="F32" s="16">
        <f t="shared" si="3"/>
        <v>237.14624000000001</v>
      </c>
      <c r="G32" s="16">
        <f t="shared" si="3"/>
        <v>237.14624000000001</v>
      </c>
      <c r="H32" s="16">
        <f t="shared" si="3"/>
        <v>58.969344000000284</v>
      </c>
      <c r="I32" s="16">
        <f t="shared" si="3"/>
        <v>237.14624000000001</v>
      </c>
      <c r="J32" s="16">
        <f t="shared" si="3"/>
        <v>237.14624000000001</v>
      </c>
      <c r="K32" s="16">
        <f t="shared" si="3"/>
        <v>237.14624000000001</v>
      </c>
      <c r="L32" s="16">
        <f t="shared" si="3"/>
        <v>237.14624000000001</v>
      </c>
      <c r="M32" s="16">
        <f t="shared" si="3"/>
        <v>237.14624000000001</v>
      </c>
      <c r="N32" s="16">
        <f t="shared" si="3"/>
        <v>237.14624000000001</v>
      </c>
      <c r="O32" s="16">
        <f t="shared" si="3"/>
        <v>237.14624000000001</v>
      </c>
    </row>
    <row r="33" spans="1:16" x14ac:dyDescent="0.2">
      <c r="A33" s="20" t="s">
        <v>42</v>
      </c>
      <c r="B33" s="12" t="s">
        <v>3</v>
      </c>
      <c r="C33" s="12"/>
      <c r="D33" s="22">
        <f>VLOOKUP(D28,Tarifas!$B$3:$E$16,3)</f>
        <v>12.38</v>
      </c>
      <c r="E33" s="22">
        <f>VLOOKUP(E28,Tarifas!$B$3:$E$16,3)</f>
        <v>12.38</v>
      </c>
      <c r="F33" s="22">
        <f>VLOOKUP(F28,Tarifas!$B$3:$E$16,3)</f>
        <v>12.38</v>
      </c>
      <c r="G33" s="22">
        <f>VLOOKUP(G28,Tarifas!$B$3:$E$16,3)</f>
        <v>12.38</v>
      </c>
      <c r="H33" s="22">
        <f>VLOOKUP(H28,Tarifas!$B$3:$E$16,3)</f>
        <v>1022.01</v>
      </c>
      <c r="I33" s="22">
        <f>VLOOKUP(I28,Tarifas!$B$3:$E$16,3)</f>
        <v>12.38</v>
      </c>
      <c r="J33" s="22">
        <f>VLOOKUP(J28,Tarifas!$B$3:$E$16,3)</f>
        <v>12.38</v>
      </c>
      <c r="K33" s="22">
        <f>VLOOKUP(K28,Tarifas!$B$3:$E$16,3)</f>
        <v>12.38</v>
      </c>
      <c r="L33" s="22">
        <f>VLOOKUP(L28,Tarifas!$B$3:$E$16,3)</f>
        <v>12.38</v>
      </c>
      <c r="M33" s="22">
        <f>VLOOKUP(M28,Tarifas!$B$3:$E$16,3)</f>
        <v>12.38</v>
      </c>
      <c r="N33" s="22">
        <f>VLOOKUP(N28,Tarifas!$B$3:$E$16,3)</f>
        <v>12.38</v>
      </c>
      <c r="O33" s="22">
        <f>VLOOKUP(O28,Tarifas!$B$3:$E$16,3)</f>
        <v>12.38</v>
      </c>
    </row>
    <row r="34" spans="1:16" ht="15" x14ac:dyDescent="0.25">
      <c r="A34" s="26" t="s">
        <v>37</v>
      </c>
      <c r="B34" s="14" t="s">
        <v>43</v>
      </c>
      <c r="C34" s="14"/>
      <c r="D34" s="27">
        <f>+D32+D33</f>
        <v>249.52624</v>
      </c>
      <c r="E34" s="27">
        <f t="shared" ref="E34:O34" si="4">+E32+E33</f>
        <v>249.52624</v>
      </c>
      <c r="F34" s="27">
        <f t="shared" si="4"/>
        <v>249.52624</v>
      </c>
      <c r="G34" s="27">
        <f t="shared" si="4"/>
        <v>249.52624</v>
      </c>
      <c r="H34" s="27">
        <f t="shared" si="4"/>
        <v>1080.9793440000003</v>
      </c>
      <c r="I34" s="27">
        <f t="shared" si="4"/>
        <v>249.52624</v>
      </c>
      <c r="J34" s="27">
        <f t="shared" si="4"/>
        <v>249.52624</v>
      </c>
      <c r="K34" s="27">
        <f t="shared" si="4"/>
        <v>249.52624</v>
      </c>
      <c r="L34" s="27">
        <f t="shared" si="4"/>
        <v>249.52624</v>
      </c>
      <c r="M34" s="27">
        <f t="shared" si="4"/>
        <v>249.52624</v>
      </c>
      <c r="N34" s="27">
        <f t="shared" si="4"/>
        <v>249.52624</v>
      </c>
      <c r="O34" s="27">
        <f t="shared" si="4"/>
        <v>249.52624</v>
      </c>
    </row>
    <row r="35" spans="1:16" ht="15" x14ac:dyDescent="0.25">
      <c r="A35" s="20" t="s">
        <v>36</v>
      </c>
      <c r="B35" s="12" t="s">
        <v>44</v>
      </c>
      <c r="C35" s="12"/>
      <c r="D35" s="22">
        <f>VLOOKUP(D28,Tarifas!$B$20:$D$33,3)</f>
        <v>382.46</v>
      </c>
      <c r="E35" s="22">
        <f>VLOOKUP(E28,Tarifas!$B$20:$D$33,3)</f>
        <v>382.46</v>
      </c>
      <c r="F35" s="22">
        <f>VLOOKUP(F28,Tarifas!$B$20:$D$33,3)</f>
        <v>382.46</v>
      </c>
      <c r="G35" s="22">
        <f>VLOOKUP(G28,Tarifas!$B$20:$D$33,3)</f>
        <v>382.46</v>
      </c>
      <c r="H35" s="22">
        <f>VLOOKUP(H28,Tarifas!$B$20:$D$33,3)</f>
        <v>0</v>
      </c>
      <c r="I35" s="22">
        <f>VLOOKUP(I28,Tarifas!$B$20:$D$33,3)</f>
        <v>382.46</v>
      </c>
      <c r="J35" s="22">
        <f>VLOOKUP(J28,Tarifas!$B$20:$D$33,3)</f>
        <v>382.46</v>
      </c>
      <c r="K35" s="22">
        <f>VLOOKUP(K28,Tarifas!$B$20:$D$33,3)</f>
        <v>382.46</v>
      </c>
      <c r="L35" s="22">
        <f>VLOOKUP(L28,Tarifas!$B$20:$D$33,3)</f>
        <v>382.46</v>
      </c>
      <c r="M35" s="22">
        <f>VLOOKUP(M28,Tarifas!$B$20:$D$33,3)</f>
        <v>382.46</v>
      </c>
      <c r="N35" s="22">
        <f>VLOOKUP(N28,Tarifas!$B$20:$D$33,3)</f>
        <v>382.46</v>
      </c>
      <c r="O35" s="22">
        <f>VLOOKUP(O28,Tarifas!$B$20:$D$33,3)</f>
        <v>382.46</v>
      </c>
      <c r="P35" s="155">
        <f>SUM(D35:O35)</f>
        <v>4207.0599999999995</v>
      </c>
    </row>
    <row r="36" spans="1:16" ht="15" x14ac:dyDescent="0.25">
      <c r="A36" s="20" t="s">
        <v>37</v>
      </c>
      <c r="B36" s="12" t="s">
        <v>45</v>
      </c>
      <c r="C36" s="12"/>
      <c r="D36" s="24">
        <f>+D34-D35</f>
        <v>-132.93375999999998</v>
      </c>
      <c r="E36" s="24">
        <f t="shared" ref="E36:O36" si="5">+E34-E35</f>
        <v>-132.93375999999998</v>
      </c>
      <c r="F36" s="24">
        <f t="shared" si="5"/>
        <v>-132.93375999999998</v>
      </c>
      <c r="G36" s="24">
        <f t="shared" si="5"/>
        <v>-132.93375999999998</v>
      </c>
      <c r="H36" s="24">
        <f t="shared" si="5"/>
        <v>1080.9793440000003</v>
      </c>
      <c r="I36" s="24">
        <f t="shared" si="5"/>
        <v>-132.93375999999998</v>
      </c>
      <c r="J36" s="24">
        <f t="shared" si="5"/>
        <v>-132.93375999999998</v>
      </c>
      <c r="K36" s="24">
        <f t="shared" si="5"/>
        <v>-132.93375999999998</v>
      </c>
      <c r="L36" s="24">
        <f t="shared" si="5"/>
        <v>-132.93375999999998</v>
      </c>
      <c r="M36" s="24">
        <f t="shared" si="5"/>
        <v>-132.93375999999998</v>
      </c>
      <c r="N36" s="24">
        <f t="shared" si="5"/>
        <v>-132.93375999999998</v>
      </c>
      <c r="O36" s="24">
        <f t="shared" si="5"/>
        <v>-132.93375999999998</v>
      </c>
      <c r="P36" s="110">
        <f>+H36</f>
        <v>1080.9793440000003</v>
      </c>
    </row>
    <row r="39" spans="1:16" ht="15" x14ac:dyDescent="0.25">
      <c r="B39" s="29" t="s">
        <v>227</v>
      </c>
    </row>
    <row r="40" spans="1:16" ht="15" x14ac:dyDescent="0.25">
      <c r="B40" s="183" t="s">
        <v>47</v>
      </c>
      <c r="C40" s="183"/>
      <c r="D40" s="183"/>
      <c r="E40" s="86" t="s">
        <v>48</v>
      </c>
    </row>
    <row r="41" spans="1:16" x14ac:dyDescent="0.2">
      <c r="B41" s="12" t="s">
        <v>49</v>
      </c>
      <c r="C41" s="12"/>
      <c r="D41" s="12"/>
      <c r="E41" s="16">
        <v>8500</v>
      </c>
    </row>
    <row r="42" spans="1:16" x14ac:dyDescent="0.2">
      <c r="B42" s="12" t="s">
        <v>50</v>
      </c>
      <c r="C42" s="12"/>
      <c r="D42" s="12"/>
      <c r="E42" s="16">
        <f>+G16</f>
        <v>89.62</v>
      </c>
    </row>
    <row r="43" spans="1:16" ht="15" x14ac:dyDescent="0.25">
      <c r="B43" s="12" t="s">
        <v>51</v>
      </c>
      <c r="C43" s="12"/>
      <c r="D43" s="12"/>
      <c r="E43" s="22">
        <f>IF(E41&gt;(E42*30),E42*15,E41)</f>
        <v>1344.3000000000002</v>
      </c>
      <c r="F43" s="28" t="s">
        <v>347</v>
      </c>
      <c r="H43" s="89" t="s">
        <v>228</v>
      </c>
    </row>
    <row r="44" spans="1:16" ht="15" x14ac:dyDescent="0.25">
      <c r="B44" s="14" t="s">
        <v>52</v>
      </c>
      <c r="C44" s="14"/>
      <c r="D44" s="14"/>
      <c r="E44" s="40">
        <f>+E41-E43</f>
        <v>7155.7</v>
      </c>
    </row>
    <row r="45" spans="1:16" ht="15" x14ac:dyDescent="0.25">
      <c r="B45" s="14"/>
      <c r="C45" s="14"/>
      <c r="D45" s="14"/>
      <c r="E45" s="27"/>
    </row>
    <row r="47" spans="1:16" ht="15" x14ac:dyDescent="0.25">
      <c r="B47" s="183" t="s">
        <v>53</v>
      </c>
      <c r="C47" s="183"/>
      <c r="D47" s="183"/>
      <c r="E47" s="86" t="s">
        <v>48</v>
      </c>
    </row>
    <row r="48" spans="1:16" x14ac:dyDescent="0.2">
      <c r="B48" s="12" t="s">
        <v>54</v>
      </c>
      <c r="C48" s="12"/>
      <c r="D48" s="12"/>
      <c r="E48" s="16">
        <f>E22*(10*0.25)</f>
        <v>362.5</v>
      </c>
      <c r="F48" s="28" t="s">
        <v>348</v>
      </c>
    </row>
    <row r="49" spans="1:17" x14ac:dyDescent="0.2">
      <c r="B49" s="12" t="s">
        <v>50</v>
      </c>
      <c r="C49" s="12"/>
      <c r="D49" s="12"/>
      <c r="E49" s="16">
        <f>+G16</f>
        <v>89.62</v>
      </c>
    </row>
    <row r="50" spans="1:17" ht="15" x14ac:dyDescent="0.25">
      <c r="B50" s="12" t="s">
        <v>55</v>
      </c>
      <c r="C50" s="12"/>
      <c r="D50" s="12"/>
      <c r="E50" s="22">
        <f>IF(E48&gt;(E49*30),E49*15,E48)</f>
        <v>362.5</v>
      </c>
      <c r="F50" s="28" t="s">
        <v>347</v>
      </c>
      <c r="G50" s="28"/>
      <c r="H50" s="89" t="s">
        <v>229</v>
      </c>
    </row>
    <row r="51" spans="1:17" ht="15" x14ac:dyDescent="0.25">
      <c r="B51" s="14" t="s">
        <v>56</v>
      </c>
      <c r="C51" s="14"/>
      <c r="D51" s="14"/>
      <c r="E51" s="27">
        <f>+E48-E50</f>
        <v>0</v>
      </c>
    </row>
    <row r="54" spans="1:17" ht="15" x14ac:dyDescent="0.25">
      <c r="B54" s="183" t="s">
        <v>57</v>
      </c>
      <c r="C54" s="183"/>
      <c r="D54" s="183"/>
      <c r="E54" s="86" t="s">
        <v>48</v>
      </c>
    </row>
    <row r="55" spans="1:17" x14ac:dyDescent="0.2">
      <c r="B55" s="12" t="s">
        <v>58</v>
      </c>
      <c r="C55" s="12"/>
      <c r="D55" s="12"/>
      <c r="E55" s="16">
        <f>+E22*15</f>
        <v>2175</v>
      </c>
      <c r="F55" s="28" t="s">
        <v>349</v>
      </c>
    </row>
    <row r="56" spans="1:17" x14ac:dyDescent="0.2">
      <c r="B56" s="12" t="s">
        <v>50</v>
      </c>
      <c r="C56" s="12"/>
      <c r="D56" s="12"/>
      <c r="E56" s="16">
        <f>+G16</f>
        <v>89.62</v>
      </c>
    </row>
    <row r="57" spans="1:17" ht="15" x14ac:dyDescent="0.25">
      <c r="B57" s="12" t="s">
        <v>59</v>
      </c>
      <c r="C57" s="12"/>
      <c r="D57" s="12"/>
      <c r="E57" s="22">
        <f>IF(E55&gt;(E56*30),E56*30,E55)</f>
        <v>2175</v>
      </c>
      <c r="F57" s="28" t="s">
        <v>350</v>
      </c>
      <c r="H57" s="89" t="s">
        <v>230</v>
      </c>
    </row>
    <row r="58" spans="1:17" ht="15" x14ac:dyDescent="0.25">
      <c r="B58" s="14" t="s">
        <v>60</v>
      </c>
      <c r="C58" s="12"/>
      <c r="D58" s="12"/>
      <c r="E58" s="16">
        <f>+E55-E57</f>
        <v>0</v>
      </c>
    </row>
    <row r="60" spans="1:17" x14ac:dyDescent="0.2">
      <c r="A60" s="91"/>
      <c r="B60" s="91"/>
      <c r="C60" s="91"/>
      <c r="D60" s="91"/>
      <c r="E60" s="91"/>
      <c r="F60" s="91"/>
      <c r="G60" s="91"/>
      <c r="H60" s="91"/>
      <c r="I60" s="91"/>
      <c r="J60" s="91"/>
      <c r="K60" s="91"/>
      <c r="L60" s="91"/>
      <c r="M60" s="91"/>
      <c r="N60" s="91"/>
      <c r="O60" s="91"/>
      <c r="P60" s="91"/>
      <c r="Q60" s="91"/>
    </row>
    <row r="63" spans="1:17" ht="15" x14ac:dyDescent="0.25">
      <c r="B63" s="29" t="s">
        <v>231</v>
      </c>
    </row>
    <row r="64" spans="1:17" ht="15" x14ac:dyDescent="0.25">
      <c r="B64" s="183" t="s">
        <v>24</v>
      </c>
      <c r="C64" s="183"/>
      <c r="D64" s="183"/>
      <c r="E64" s="86">
        <v>2019</v>
      </c>
      <c r="F64" s="86">
        <v>2020</v>
      </c>
      <c r="G64" s="86">
        <v>2021</v>
      </c>
    </row>
    <row r="65" spans="1:16" x14ac:dyDescent="0.2">
      <c r="B65" s="12" t="s">
        <v>25</v>
      </c>
      <c r="C65" s="12"/>
      <c r="D65" s="12"/>
      <c r="E65" s="13">
        <v>102.68</v>
      </c>
      <c r="F65" s="13">
        <v>123.22</v>
      </c>
      <c r="G65" s="1">
        <v>141.69999999999999</v>
      </c>
    </row>
    <row r="66" spans="1:16" x14ac:dyDescent="0.2">
      <c r="B66" s="12" t="s">
        <v>26</v>
      </c>
      <c r="C66" s="12"/>
      <c r="D66" s="12"/>
      <c r="E66" s="13">
        <v>176.72</v>
      </c>
      <c r="F66" s="13">
        <v>185.56</v>
      </c>
      <c r="G66" s="1">
        <v>213.39</v>
      </c>
    </row>
    <row r="67" spans="1:16" x14ac:dyDescent="0.2">
      <c r="B67" s="12" t="s">
        <v>28</v>
      </c>
      <c r="C67" s="12"/>
      <c r="D67" s="12"/>
      <c r="E67" s="13">
        <v>84.49</v>
      </c>
      <c r="F67" s="13">
        <v>86.88</v>
      </c>
      <c r="G67" s="1">
        <v>89.62</v>
      </c>
    </row>
    <row r="68" spans="1:16" x14ac:dyDescent="0.2">
      <c r="B68" s="12" t="s">
        <v>29</v>
      </c>
      <c r="C68" s="12"/>
      <c r="D68" s="12"/>
      <c r="E68" s="16">
        <v>30822</v>
      </c>
      <c r="F68" s="16">
        <v>31693.8</v>
      </c>
      <c r="G68" s="1">
        <v>32693.4</v>
      </c>
    </row>
    <row r="71" spans="1:16" ht="15" x14ac:dyDescent="0.25">
      <c r="B71" s="183" t="s">
        <v>34</v>
      </c>
      <c r="C71" s="183"/>
      <c r="D71" s="183" t="s">
        <v>31</v>
      </c>
      <c r="E71" s="86" t="s">
        <v>33</v>
      </c>
      <c r="F71" s="86" t="s">
        <v>32</v>
      </c>
      <c r="G71" s="86" t="s">
        <v>31</v>
      </c>
    </row>
    <row r="72" spans="1:16" x14ac:dyDescent="0.2">
      <c r="B72" s="1" t="s">
        <v>30</v>
      </c>
      <c r="E72" s="1">
        <v>8500</v>
      </c>
      <c r="F72" s="1">
        <v>8500</v>
      </c>
      <c r="G72" s="1">
        <v>8500</v>
      </c>
    </row>
    <row r="73" spans="1:16" x14ac:dyDescent="0.2">
      <c r="B73" s="1" t="s">
        <v>27</v>
      </c>
      <c r="E73" s="1">
        <f>+E72/30</f>
        <v>283.33333333333331</v>
      </c>
      <c r="F73" s="1">
        <f>+F72/30</f>
        <v>283.33333333333331</v>
      </c>
      <c r="G73" s="1">
        <f>+G72/30.4</f>
        <v>279.60526315789474</v>
      </c>
    </row>
    <row r="75" spans="1:16" ht="15" x14ac:dyDescent="0.25">
      <c r="B75" s="29" t="s">
        <v>232</v>
      </c>
    </row>
    <row r="76" spans="1:16" ht="15" x14ac:dyDescent="0.25">
      <c r="B76" s="184" t="s">
        <v>34</v>
      </c>
      <c r="C76" s="184"/>
      <c r="D76" s="21" t="s">
        <v>12</v>
      </c>
      <c r="E76" s="21" t="s">
        <v>16</v>
      </c>
      <c r="F76" s="21" t="s">
        <v>20</v>
      </c>
      <c r="G76" s="21" t="s">
        <v>13</v>
      </c>
      <c r="H76" s="21" t="s">
        <v>17</v>
      </c>
      <c r="I76" s="21" t="s">
        <v>21</v>
      </c>
      <c r="J76" s="21" t="s">
        <v>14</v>
      </c>
      <c r="K76" s="21" t="s">
        <v>18</v>
      </c>
      <c r="L76" s="21" t="s">
        <v>22</v>
      </c>
      <c r="M76" s="21" t="s">
        <v>15</v>
      </c>
      <c r="N76" s="21" t="s">
        <v>19</v>
      </c>
      <c r="O76" s="21" t="s">
        <v>23</v>
      </c>
      <c r="P76" s="86" t="s">
        <v>64</v>
      </c>
    </row>
    <row r="77" spans="1:16" ht="15" x14ac:dyDescent="0.25">
      <c r="A77" s="12"/>
      <c r="B77" s="12" t="s">
        <v>30</v>
      </c>
      <c r="C77" s="12"/>
      <c r="D77" s="1">
        <f>+$G$72</f>
        <v>8500</v>
      </c>
      <c r="E77" s="1">
        <f t="shared" ref="E77:O77" si="6">+$G$72</f>
        <v>8500</v>
      </c>
      <c r="F77" s="1">
        <f t="shared" si="6"/>
        <v>8500</v>
      </c>
      <c r="G77" s="1">
        <f t="shared" si="6"/>
        <v>8500</v>
      </c>
      <c r="H77" s="1">
        <f t="shared" si="6"/>
        <v>8500</v>
      </c>
      <c r="I77" s="1">
        <f t="shared" si="6"/>
        <v>8500</v>
      </c>
      <c r="J77" s="1">
        <f t="shared" si="6"/>
        <v>8500</v>
      </c>
      <c r="K77" s="1">
        <f t="shared" si="6"/>
        <v>8500</v>
      </c>
      <c r="L77" s="1">
        <f t="shared" si="6"/>
        <v>8500</v>
      </c>
      <c r="M77" s="1">
        <f t="shared" si="6"/>
        <v>8500</v>
      </c>
      <c r="N77" s="1">
        <f t="shared" si="6"/>
        <v>8500</v>
      </c>
      <c r="O77" s="1">
        <f t="shared" si="6"/>
        <v>8500</v>
      </c>
      <c r="P77" s="110">
        <f>SUM(D77:O77)</f>
        <v>102000</v>
      </c>
    </row>
    <row r="78" spans="1:16" x14ac:dyDescent="0.2">
      <c r="A78" s="20" t="s">
        <v>42</v>
      </c>
      <c r="B78" s="12" t="s">
        <v>46</v>
      </c>
      <c r="C78" s="12"/>
      <c r="D78" s="25">
        <v>0</v>
      </c>
      <c r="E78" s="25">
        <v>0</v>
      </c>
      <c r="F78" s="25">
        <v>0</v>
      </c>
      <c r="G78" s="25">
        <v>0</v>
      </c>
      <c r="H78" s="25">
        <f>+E95</f>
        <v>0</v>
      </c>
      <c r="I78" s="25">
        <v>0</v>
      </c>
      <c r="J78" s="25">
        <v>0</v>
      </c>
      <c r="K78" s="25">
        <v>0</v>
      </c>
      <c r="L78" s="25">
        <v>0</v>
      </c>
      <c r="M78" s="25">
        <v>0</v>
      </c>
      <c r="N78" s="25">
        <v>0</v>
      </c>
      <c r="O78" s="39">
        <f>+E109</f>
        <v>5811.4</v>
      </c>
      <c r="P78" s="32"/>
    </row>
    <row r="79" spans="1:16" ht="15" x14ac:dyDescent="0.25">
      <c r="A79" s="26" t="s">
        <v>37</v>
      </c>
      <c r="B79" s="14" t="s">
        <v>35</v>
      </c>
      <c r="C79" s="14"/>
      <c r="D79" s="15">
        <f>+D77+D78</f>
        <v>8500</v>
      </c>
      <c r="E79" s="15">
        <f>+E77+E78</f>
        <v>8500</v>
      </c>
      <c r="F79" s="15">
        <f t="shared" ref="F79:O79" si="7">+F77+F78</f>
        <v>8500</v>
      </c>
      <c r="G79" s="15">
        <f t="shared" si="7"/>
        <v>8500</v>
      </c>
      <c r="H79" s="15">
        <f t="shared" si="7"/>
        <v>8500</v>
      </c>
      <c r="I79" s="15">
        <f t="shared" si="7"/>
        <v>8500</v>
      </c>
      <c r="J79" s="15">
        <f t="shared" si="7"/>
        <v>8500</v>
      </c>
      <c r="K79" s="15">
        <f t="shared" si="7"/>
        <v>8500</v>
      </c>
      <c r="L79" s="15">
        <f t="shared" si="7"/>
        <v>8500</v>
      </c>
      <c r="M79" s="15">
        <f t="shared" si="7"/>
        <v>8500</v>
      </c>
      <c r="N79" s="15">
        <f t="shared" si="7"/>
        <v>8500</v>
      </c>
      <c r="O79" s="15">
        <f t="shared" si="7"/>
        <v>14311.4</v>
      </c>
    </row>
    <row r="80" spans="1:16" x14ac:dyDescent="0.2">
      <c r="A80" s="20" t="s">
        <v>36</v>
      </c>
      <c r="B80" s="12" t="s">
        <v>1</v>
      </c>
      <c r="C80" s="12"/>
      <c r="D80" s="22">
        <f>VLOOKUP(D79,Tarifas!$B$3:$E$16,1)</f>
        <v>5470.93</v>
      </c>
      <c r="E80" s="22">
        <f>VLOOKUP(E79,Tarifas!$B$3:$E$16,1)</f>
        <v>5470.93</v>
      </c>
      <c r="F80" s="22">
        <f>VLOOKUP(F79,Tarifas!$B$3:$E$16,1)</f>
        <v>5470.93</v>
      </c>
      <c r="G80" s="22">
        <f>VLOOKUP(G79,Tarifas!$B$3:$E$16,1)</f>
        <v>5470.93</v>
      </c>
      <c r="H80" s="22">
        <f>VLOOKUP(H79,Tarifas!$B$3:$E$16,1)</f>
        <v>5470.93</v>
      </c>
      <c r="I80" s="22">
        <f>VLOOKUP(I79,Tarifas!$B$3:$E$16,1)</f>
        <v>5470.93</v>
      </c>
      <c r="J80" s="22">
        <f>VLOOKUP(J79,Tarifas!$B$3:$E$16,1)</f>
        <v>5470.93</v>
      </c>
      <c r="K80" s="22">
        <f>VLOOKUP(K79,Tarifas!$B$3:$E$16,1)</f>
        <v>5470.93</v>
      </c>
      <c r="L80" s="22">
        <f>VLOOKUP(L79,Tarifas!$B$3:$E$16,1)</f>
        <v>5470.93</v>
      </c>
      <c r="M80" s="22">
        <f>VLOOKUP(M79,Tarifas!$B$3:$E$16,1)</f>
        <v>5470.93</v>
      </c>
      <c r="N80" s="22">
        <f>VLOOKUP(N79,Tarifas!$B$3:$E$16,1)</f>
        <v>5470.93</v>
      </c>
      <c r="O80" s="22">
        <f>VLOOKUP(O79,Tarifas!$B$3:$E$16,1)</f>
        <v>13381.48</v>
      </c>
    </row>
    <row r="81" spans="1:16" x14ac:dyDescent="0.2">
      <c r="A81" s="20" t="s">
        <v>37</v>
      </c>
      <c r="B81" s="12" t="s">
        <v>38</v>
      </c>
      <c r="C81" s="12"/>
      <c r="D81" s="16">
        <f>+D79-D80</f>
        <v>3029.0699999999997</v>
      </c>
      <c r="E81" s="16">
        <f t="shared" ref="E81:O81" si="8">+E79-E80</f>
        <v>3029.0699999999997</v>
      </c>
      <c r="F81" s="16">
        <f t="shared" si="8"/>
        <v>3029.0699999999997</v>
      </c>
      <c r="G81" s="16">
        <f t="shared" si="8"/>
        <v>3029.0699999999997</v>
      </c>
      <c r="H81" s="16">
        <f t="shared" si="8"/>
        <v>3029.0699999999997</v>
      </c>
      <c r="I81" s="16">
        <f t="shared" si="8"/>
        <v>3029.0699999999997</v>
      </c>
      <c r="J81" s="16">
        <f t="shared" si="8"/>
        <v>3029.0699999999997</v>
      </c>
      <c r="K81" s="16">
        <f t="shared" si="8"/>
        <v>3029.0699999999997</v>
      </c>
      <c r="L81" s="16">
        <f t="shared" si="8"/>
        <v>3029.0699999999997</v>
      </c>
      <c r="M81" s="16">
        <f t="shared" si="8"/>
        <v>3029.0699999999997</v>
      </c>
      <c r="N81" s="16">
        <f t="shared" si="8"/>
        <v>3029.0699999999997</v>
      </c>
      <c r="O81" s="16">
        <f t="shared" si="8"/>
        <v>929.92000000000007</v>
      </c>
    </row>
    <row r="82" spans="1:16" x14ac:dyDescent="0.2">
      <c r="A82" s="20" t="s">
        <v>39</v>
      </c>
      <c r="B82" s="12" t="s">
        <v>40</v>
      </c>
      <c r="C82" s="12"/>
      <c r="D82" s="23">
        <f>VLOOKUP(D79,Tarifas!$B$3:$E$16,4)/100</f>
        <v>0.10880000000000001</v>
      </c>
      <c r="E82" s="23">
        <f>VLOOKUP(E79,Tarifas!$B$3:$E$16,4)/100</f>
        <v>0.10880000000000001</v>
      </c>
      <c r="F82" s="23">
        <f>VLOOKUP(F79,Tarifas!$B$3:$E$16,4)/100</f>
        <v>0.10880000000000001</v>
      </c>
      <c r="G82" s="23">
        <f>VLOOKUP(G79,Tarifas!$B$3:$E$16,4)/100</f>
        <v>0.10880000000000001</v>
      </c>
      <c r="H82" s="23">
        <f>VLOOKUP(H79,Tarifas!$B$3:$E$16,4)/100</f>
        <v>0.10880000000000001</v>
      </c>
      <c r="I82" s="23">
        <f>VLOOKUP(I79,Tarifas!$B$3:$E$16,4)/100</f>
        <v>0.10880000000000001</v>
      </c>
      <c r="J82" s="23">
        <f>VLOOKUP(J79,Tarifas!$B$3:$E$16,4)/100</f>
        <v>0.10880000000000001</v>
      </c>
      <c r="K82" s="23">
        <f>VLOOKUP(K79,Tarifas!$B$3:$E$16,4)/100</f>
        <v>0.10880000000000001</v>
      </c>
      <c r="L82" s="23">
        <f>VLOOKUP(L79,Tarifas!$B$3:$E$16,4)/100</f>
        <v>0.10880000000000001</v>
      </c>
      <c r="M82" s="23">
        <f>VLOOKUP(M79,Tarifas!$B$3:$E$16,4)/100</f>
        <v>0.10880000000000001</v>
      </c>
      <c r="N82" s="23">
        <f>VLOOKUP(N79,Tarifas!$B$3:$E$16,4)/100</f>
        <v>0.10880000000000001</v>
      </c>
      <c r="O82" s="23">
        <f>VLOOKUP(O79,Tarifas!$B$3:$E$16,4)/100</f>
        <v>0.21359999999999998</v>
      </c>
    </row>
    <row r="83" spans="1:16" x14ac:dyDescent="0.2">
      <c r="A83" s="20" t="s">
        <v>37</v>
      </c>
      <c r="B83" s="12" t="s">
        <v>41</v>
      </c>
      <c r="C83" s="12"/>
      <c r="D83" s="16">
        <f>+D81*D82</f>
        <v>329.562816</v>
      </c>
      <c r="E83" s="16">
        <f t="shared" ref="E83:O83" si="9">+E81*E82</f>
        <v>329.562816</v>
      </c>
      <c r="F83" s="16">
        <f t="shared" si="9"/>
        <v>329.562816</v>
      </c>
      <c r="G83" s="16">
        <f t="shared" si="9"/>
        <v>329.562816</v>
      </c>
      <c r="H83" s="16">
        <f t="shared" si="9"/>
        <v>329.562816</v>
      </c>
      <c r="I83" s="16">
        <f t="shared" si="9"/>
        <v>329.562816</v>
      </c>
      <c r="J83" s="16">
        <f t="shared" si="9"/>
        <v>329.562816</v>
      </c>
      <c r="K83" s="16">
        <f t="shared" si="9"/>
        <v>329.562816</v>
      </c>
      <c r="L83" s="16">
        <f t="shared" si="9"/>
        <v>329.562816</v>
      </c>
      <c r="M83" s="16">
        <f t="shared" si="9"/>
        <v>329.562816</v>
      </c>
      <c r="N83" s="16">
        <f t="shared" si="9"/>
        <v>329.562816</v>
      </c>
      <c r="O83" s="16">
        <f t="shared" si="9"/>
        <v>198.630912</v>
      </c>
    </row>
    <row r="84" spans="1:16" x14ac:dyDescent="0.2">
      <c r="A84" s="20" t="s">
        <v>42</v>
      </c>
      <c r="B84" s="12" t="s">
        <v>3</v>
      </c>
      <c r="C84" s="12"/>
      <c r="D84" s="22">
        <f>VLOOKUP(D79,Tarifas!$B$3:$E$16,3)</f>
        <v>321.26</v>
      </c>
      <c r="E84" s="22">
        <f>VLOOKUP(E79,Tarifas!$B$3:$E$16,3)</f>
        <v>321.26</v>
      </c>
      <c r="F84" s="22">
        <f>VLOOKUP(F79,Tarifas!$B$3:$E$16,3)</f>
        <v>321.26</v>
      </c>
      <c r="G84" s="22">
        <f>VLOOKUP(G79,Tarifas!$B$3:$E$16,3)</f>
        <v>321.26</v>
      </c>
      <c r="H84" s="22">
        <f>VLOOKUP(H79,Tarifas!$B$3:$E$16,3)</f>
        <v>321.26</v>
      </c>
      <c r="I84" s="22">
        <f>VLOOKUP(I79,Tarifas!$B$3:$E$16,3)</f>
        <v>321.26</v>
      </c>
      <c r="J84" s="22">
        <f>VLOOKUP(J79,Tarifas!$B$3:$E$16,3)</f>
        <v>321.26</v>
      </c>
      <c r="K84" s="22">
        <f>VLOOKUP(K79,Tarifas!$B$3:$E$16,3)</f>
        <v>321.26</v>
      </c>
      <c r="L84" s="22">
        <f>VLOOKUP(L79,Tarifas!$B$3:$E$16,3)</f>
        <v>321.26</v>
      </c>
      <c r="M84" s="22">
        <f>VLOOKUP(M79,Tarifas!$B$3:$E$16,3)</f>
        <v>321.26</v>
      </c>
      <c r="N84" s="22">
        <f>VLOOKUP(N79,Tarifas!$B$3:$E$16,3)</f>
        <v>321.26</v>
      </c>
      <c r="O84" s="22">
        <f>VLOOKUP(O79,Tarifas!$B$3:$E$16,3)</f>
        <v>1417.12</v>
      </c>
    </row>
    <row r="85" spans="1:16" ht="15" x14ac:dyDescent="0.25">
      <c r="A85" s="26" t="s">
        <v>37</v>
      </c>
      <c r="B85" s="14" t="s">
        <v>43</v>
      </c>
      <c r="C85" s="14"/>
      <c r="D85" s="27">
        <f>+D83+D84</f>
        <v>650.82281599999999</v>
      </c>
      <c r="E85" s="27">
        <f t="shared" ref="E85:O85" si="10">+E83+E84</f>
        <v>650.82281599999999</v>
      </c>
      <c r="F85" s="27">
        <f t="shared" si="10"/>
        <v>650.82281599999999</v>
      </c>
      <c r="G85" s="27">
        <f t="shared" si="10"/>
        <v>650.82281599999999</v>
      </c>
      <c r="H85" s="27">
        <f t="shared" si="10"/>
        <v>650.82281599999999</v>
      </c>
      <c r="I85" s="27">
        <f t="shared" si="10"/>
        <v>650.82281599999999</v>
      </c>
      <c r="J85" s="27">
        <f t="shared" si="10"/>
        <v>650.82281599999999</v>
      </c>
      <c r="K85" s="27">
        <f t="shared" si="10"/>
        <v>650.82281599999999</v>
      </c>
      <c r="L85" s="27">
        <f t="shared" si="10"/>
        <v>650.82281599999999</v>
      </c>
      <c r="M85" s="27">
        <f t="shared" si="10"/>
        <v>650.82281599999999</v>
      </c>
      <c r="N85" s="27">
        <f t="shared" si="10"/>
        <v>650.82281599999999</v>
      </c>
      <c r="O85" s="27">
        <f t="shared" si="10"/>
        <v>1615.750912</v>
      </c>
    </row>
    <row r="86" spans="1:16" x14ac:dyDescent="0.2">
      <c r="A86" s="20" t="s">
        <v>36</v>
      </c>
      <c r="B86" s="12" t="s">
        <v>44</v>
      </c>
      <c r="C86" s="12"/>
      <c r="D86" s="22">
        <f>VLOOKUP(D79,Tarifas!$B$20:$D$33,3)</f>
        <v>0</v>
      </c>
      <c r="E86" s="22">
        <f>VLOOKUP(E79,Tarifas!$B$20:$D$33,3)</f>
        <v>0</v>
      </c>
      <c r="F86" s="22">
        <f>VLOOKUP(F79,Tarifas!$B$20:$D$33,3)</f>
        <v>0</v>
      </c>
      <c r="G86" s="22">
        <f>VLOOKUP(G79,Tarifas!$B$20:$D$33,3)</f>
        <v>0</v>
      </c>
      <c r="H86" s="22">
        <f>VLOOKUP(H79,Tarifas!$B$20:$D$33,3)</f>
        <v>0</v>
      </c>
      <c r="I86" s="22">
        <f>VLOOKUP(I79,Tarifas!$B$20:$D$33,3)</f>
        <v>0</v>
      </c>
      <c r="J86" s="22">
        <f>VLOOKUP(J79,Tarifas!$B$20:$D$33,3)</f>
        <v>0</v>
      </c>
      <c r="K86" s="22">
        <f>VLOOKUP(K79,Tarifas!$B$20:$D$33,3)</f>
        <v>0</v>
      </c>
      <c r="L86" s="22">
        <f>VLOOKUP(L79,Tarifas!$B$20:$D$33,3)</f>
        <v>0</v>
      </c>
      <c r="M86" s="22">
        <f>VLOOKUP(M79,Tarifas!$B$20:$D$33,3)</f>
        <v>0</v>
      </c>
      <c r="N86" s="22">
        <f>VLOOKUP(N79,Tarifas!$B$20:$D$33,3)</f>
        <v>0</v>
      </c>
      <c r="O86" s="22">
        <f>VLOOKUP(O79,Tarifas!$B$20:$D$33,3)</f>
        <v>0</v>
      </c>
      <c r="P86" s="22">
        <f>SUM(D86:O86)</f>
        <v>0</v>
      </c>
    </row>
    <row r="87" spans="1:16" ht="15" x14ac:dyDescent="0.25">
      <c r="A87" s="20" t="s">
        <v>37</v>
      </c>
      <c r="B87" s="12" t="s">
        <v>45</v>
      </c>
      <c r="C87" s="12"/>
      <c r="D87" s="24">
        <f>+D85-D86</f>
        <v>650.82281599999999</v>
      </c>
      <c r="E87" s="24">
        <f t="shared" ref="E87:O87" si="11">+E85-E86</f>
        <v>650.82281599999999</v>
      </c>
      <c r="F87" s="24">
        <f t="shared" si="11"/>
        <v>650.82281599999999</v>
      </c>
      <c r="G87" s="24">
        <f t="shared" si="11"/>
        <v>650.82281599999999</v>
      </c>
      <c r="H87" s="24">
        <f t="shared" si="11"/>
        <v>650.82281599999999</v>
      </c>
      <c r="I87" s="24">
        <f t="shared" si="11"/>
        <v>650.82281599999999</v>
      </c>
      <c r="J87" s="24">
        <f t="shared" si="11"/>
        <v>650.82281599999999</v>
      </c>
      <c r="K87" s="24">
        <f t="shared" si="11"/>
        <v>650.82281599999999</v>
      </c>
      <c r="L87" s="24">
        <f t="shared" si="11"/>
        <v>650.82281599999999</v>
      </c>
      <c r="M87" s="24">
        <f t="shared" si="11"/>
        <v>650.82281599999999</v>
      </c>
      <c r="N87" s="24">
        <f t="shared" si="11"/>
        <v>650.82281599999999</v>
      </c>
      <c r="O87" s="24">
        <f t="shared" si="11"/>
        <v>1615.750912</v>
      </c>
      <c r="P87" s="110">
        <f>SUM(D87:O87)</f>
        <v>8774.801888</v>
      </c>
    </row>
    <row r="90" spans="1:16" ht="15" x14ac:dyDescent="0.25">
      <c r="B90" s="29" t="s">
        <v>233</v>
      </c>
    </row>
    <row r="91" spans="1:16" ht="15" x14ac:dyDescent="0.25">
      <c r="B91" s="183" t="s">
        <v>47</v>
      </c>
      <c r="C91" s="183"/>
      <c r="D91" s="183"/>
      <c r="E91" s="86" t="s">
        <v>48</v>
      </c>
    </row>
    <row r="92" spans="1:16" x14ac:dyDescent="0.2">
      <c r="B92" s="12" t="s">
        <v>49</v>
      </c>
      <c r="C92" s="12"/>
      <c r="D92" s="12"/>
      <c r="E92" s="16">
        <v>1164</v>
      </c>
    </row>
    <row r="93" spans="1:16" x14ac:dyDescent="0.2">
      <c r="B93" s="12" t="s">
        <v>50</v>
      </c>
      <c r="C93" s="12"/>
      <c r="D93" s="12"/>
      <c r="E93" s="16">
        <f>+G67</f>
        <v>89.62</v>
      </c>
    </row>
    <row r="94" spans="1:16" ht="15" x14ac:dyDescent="0.25">
      <c r="B94" s="12" t="s">
        <v>51</v>
      </c>
      <c r="C94" s="12"/>
      <c r="D94" s="12"/>
      <c r="E94" s="22">
        <f>IF(E92&gt;(E93*30),E93*15,E92)</f>
        <v>1164</v>
      </c>
      <c r="F94" s="28" t="s">
        <v>351</v>
      </c>
      <c r="H94" s="89" t="s">
        <v>228</v>
      </c>
    </row>
    <row r="95" spans="1:16" ht="15" x14ac:dyDescent="0.25">
      <c r="B95" s="14" t="s">
        <v>52</v>
      </c>
      <c r="C95" s="14"/>
      <c r="D95" s="14"/>
      <c r="E95" s="27">
        <f>+E92-E94</f>
        <v>0</v>
      </c>
    </row>
    <row r="96" spans="1:16" ht="15" x14ac:dyDescent="0.25">
      <c r="B96" s="14"/>
      <c r="C96" s="14"/>
      <c r="D96" s="14"/>
      <c r="E96" s="27"/>
    </row>
    <row r="98" spans="2:8" ht="15" x14ac:dyDescent="0.25">
      <c r="B98" s="183" t="s">
        <v>53</v>
      </c>
      <c r="C98" s="183"/>
      <c r="D98" s="183"/>
      <c r="E98" s="86" t="s">
        <v>48</v>
      </c>
    </row>
    <row r="99" spans="2:8" x14ac:dyDescent="0.2">
      <c r="B99" s="12" t="s">
        <v>54</v>
      </c>
      <c r="C99" s="12"/>
      <c r="D99" s="12"/>
      <c r="E99" s="16">
        <f>E73*(6*0.3)</f>
        <v>509.99999999999994</v>
      </c>
      <c r="F99" s="28" t="s">
        <v>243</v>
      </c>
    </row>
    <row r="100" spans="2:8" x14ac:dyDescent="0.2">
      <c r="B100" s="12" t="s">
        <v>50</v>
      </c>
      <c r="C100" s="12"/>
      <c r="D100" s="12"/>
      <c r="E100" s="16">
        <f>+G16</f>
        <v>89.62</v>
      </c>
    </row>
    <row r="101" spans="2:8" ht="15" x14ac:dyDescent="0.25">
      <c r="B101" s="12" t="s">
        <v>55</v>
      </c>
      <c r="C101" s="12"/>
      <c r="D101" s="12"/>
      <c r="E101" s="22">
        <f>IF(E99&gt;(E100*30),E100*15,E99)</f>
        <v>509.99999999999994</v>
      </c>
      <c r="F101" s="28" t="s">
        <v>347</v>
      </c>
      <c r="G101" s="28"/>
      <c r="H101" s="89" t="s">
        <v>229</v>
      </c>
    </row>
    <row r="102" spans="2:8" ht="15" x14ac:dyDescent="0.25">
      <c r="B102" s="14" t="s">
        <v>56</v>
      </c>
      <c r="C102" s="14"/>
      <c r="D102" s="14"/>
      <c r="E102" s="27">
        <f>+E99-E101</f>
        <v>0</v>
      </c>
    </row>
    <row r="105" spans="2:8" ht="15" x14ac:dyDescent="0.25">
      <c r="B105" s="183" t="s">
        <v>57</v>
      </c>
      <c r="C105" s="183"/>
      <c r="D105" s="183"/>
      <c r="E105" s="86" t="s">
        <v>48</v>
      </c>
    </row>
    <row r="106" spans="2:8" x14ac:dyDescent="0.2">
      <c r="B106" s="12" t="s">
        <v>58</v>
      </c>
      <c r="C106" s="12"/>
      <c r="D106" s="12"/>
      <c r="E106" s="16">
        <f>+E73*30</f>
        <v>8500</v>
      </c>
      <c r="F106" s="28" t="s">
        <v>244</v>
      </c>
    </row>
    <row r="107" spans="2:8" x14ac:dyDescent="0.2">
      <c r="B107" s="12" t="s">
        <v>50</v>
      </c>
      <c r="C107" s="12"/>
      <c r="D107" s="12"/>
      <c r="E107" s="16">
        <f>+G67</f>
        <v>89.62</v>
      </c>
    </row>
    <row r="108" spans="2:8" ht="15" x14ac:dyDescent="0.25">
      <c r="B108" s="12" t="s">
        <v>59</v>
      </c>
      <c r="C108" s="12"/>
      <c r="D108" s="12"/>
      <c r="E108" s="22">
        <f>IF(E106&gt;(E107*30),E107*30,E106)</f>
        <v>2688.6000000000004</v>
      </c>
      <c r="F108" s="28" t="s">
        <v>352</v>
      </c>
      <c r="H108" s="89" t="s">
        <v>230</v>
      </c>
    </row>
    <row r="109" spans="2:8" ht="15" x14ac:dyDescent="0.25">
      <c r="B109" s="14" t="s">
        <v>60</v>
      </c>
      <c r="C109" s="12"/>
      <c r="D109" s="12"/>
      <c r="E109" s="40">
        <f>+E106-E108</f>
        <v>5811.4</v>
      </c>
    </row>
    <row r="115" spans="1:17" x14ac:dyDescent="0.2">
      <c r="A115" s="91"/>
      <c r="B115" s="91"/>
      <c r="C115" s="91"/>
      <c r="D115" s="91"/>
      <c r="E115" s="91"/>
      <c r="F115" s="91"/>
      <c r="G115" s="91"/>
      <c r="H115" s="91"/>
      <c r="I115" s="91"/>
      <c r="J115" s="91"/>
      <c r="K115" s="91"/>
      <c r="L115" s="91"/>
      <c r="M115" s="91"/>
      <c r="N115" s="91"/>
      <c r="O115" s="91"/>
      <c r="P115" s="91"/>
      <c r="Q115" s="91"/>
    </row>
    <row r="117" spans="1:17" x14ac:dyDescent="0.2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</row>
    <row r="118" spans="1:17" ht="15" x14ac:dyDescent="0.25">
      <c r="B118" s="29" t="s">
        <v>151</v>
      </c>
      <c r="I118" s="29" t="s">
        <v>152</v>
      </c>
    </row>
    <row r="119" spans="1:17" ht="15" x14ac:dyDescent="0.25">
      <c r="A119" s="12"/>
      <c r="B119" s="183" t="s">
        <v>81</v>
      </c>
      <c r="C119" s="183"/>
      <c r="D119" s="183"/>
      <c r="E119" s="86" t="s">
        <v>82</v>
      </c>
      <c r="F119" s="86" t="s">
        <v>83</v>
      </c>
      <c r="H119" s="12"/>
      <c r="I119" s="183" t="s">
        <v>81</v>
      </c>
      <c r="J119" s="183"/>
      <c r="K119" s="183"/>
      <c r="L119" s="86" t="s">
        <v>82</v>
      </c>
      <c r="M119" s="86" t="s">
        <v>235</v>
      </c>
      <c r="N119" s="86" t="s">
        <v>234</v>
      </c>
    </row>
    <row r="120" spans="1:17" x14ac:dyDescent="0.2">
      <c r="A120" s="12"/>
      <c r="B120" s="12" t="s">
        <v>84</v>
      </c>
      <c r="C120" s="12"/>
      <c r="D120" s="12"/>
      <c r="E120" s="16">
        <f>+P26+P77</f>
        <v>154200</v>
      </c>
      <c r="F120" s="16">
        <v>0</v>
      </c>
      <c r="H120" s="12"/>
      <c r="I120" s="12" t="s">
        <v>93</v>
      </c>
      <c r="J120" s="12"/>
      <c r="K120" s="12"/>
      <c r="L120" s="16">
        <v>3250</v>
      </c>
      <c r="M120" s="1">
        <v>0</v>
      </c>
      <c r="N120" s="1">
        <f>+L120</f>
        <v>3250</v>
      </c>
    </row>
    <row r="121" spans="1:17" x14ac:dyDescent="0.2">
      <c r="A121" s="20" t="s">
        <v>42</v>
      </c>
      <c r="B121" s="12" t="s">
        <v>85</v>
      </c>
      <c r="C121" s="12"/>
      <c r="D121" s="12"/>
      <c r="E121" s="16">
        <f>+E41+E92</f>
        <v>9664</v>
      </c>
      <c r="F121" s="16">
        <f>+E43</f>
        <v>1344.3000000000002</v>
      </c>
      <c r="H121" s="20" t="s">
        <v>42</v>
      </c>
      <c r="I121" s="12" t="s">
        <v>94</v>
      </c>
      <c r="J121" s="12"/>
      <c r="K121" s="12"/>
      <c r="L121" s="16">
        <v>27000</v>
      </c>
      <c r="M121" s="1">
        <v>32693.4</v>
      </c>
      <c r="N121" s="1">
        <f>+L121</f>
        <v>27000</v>
      </c>
    </row>
    <row r="122" spans="1:17" x14ac:dyDescent="0.2">
      <c r="A122" s="20" t="s">
        <v>42</v>
      </c>
      <c r="B122" s="12" t="s">
        <v>86</v>
      </c>
      <c r="C122" s="12"/>
      <c r="D122" s="12"/>
      <c r="E122" s="16">
        <f>+E55+E106</f>
        <v>10675</v>
      </c>
      <c r="F122" s="16">
        <f>+E108</f>
        <v>2688.6000000000004</v>
      </c>
      <c r="H122" s="20" t="s">
        <v>42</v>
      </c>
      <c r="I122" s="12" t="s">
        <v>95</v>
      </c>
      <c r="J122" s="12"/>
      <c r="K122" s="12"/>
      <c r="L122" s="16">
        <v>0</v>
      </c>
      <c r="M122" s="1">
        <v>0</v>
      </c>
      <c r="N122" s="1">
        <f t="shared" ref="N122:N125" si="12">+M122</f>
        <v>0</v>
      </c>
    </row>
    <row r="123" spans="1:17" x14ac:dyDescent="0.2">
      <c r="A123" s="20" t="s">
        <v>42</v>
      </c>
      <c r="B123" s="12" t="s">
        <v>87</v>
      </c>
      <c r="C123" s="12"/>
      <c r="D123" s="12"/>
      <c r="E123" s="16">
        <f>+E48+E99</f>
        <v>872.5</v>
      </c>
      <c r="F123" s="16">
        <f>+E101+E50</f>
        <v>872.5</v>
      </c>
      <c r="H123" s="20" t="s">
        <v>42</v>
      </c>
      <c r="I123" s="12" t="s">
        <v>96</v>
      </c>
      <c r="J123" s="12"/>
      <c r="K123" s="12"/>
      <c r="L123" s="16">
        <v>0</v>
      </c>
      <c r="M123" s="1">
        <v>0</v>
      </c>
      <c r="N123" s="1">
        <f t="shared" si="12"/>
        <v>0</v>
      </c>
    </row>
    <row r="124" spans="1:17" x14ac:dyDescent="0.2">
      <c r="A124" s="20" t="s">
        <v>42</v>
      </c>
      <c r="B124" s="12" t="s">
        <v>65</v>
      </c>
      <c r="C124" s="12"/>
      <c r="D124" s="12"/>
      <c r="E124" s="16">
        <v>0</v>
      </c>
      <c r="F124" s="16">
        <v>0</v>
      </c>
      <c r="H124" s="20" t="s">
        <v>42</v>
      </c>
      <c r="I124" s="12" t="s">
        <v>97</v>
      </c>
      <c r="J124" s="12"/>
      <c r="K124" s="12"/>
      <c r="L124" s="16">
        <v>0</v>
      </c>
      <c r="M124" s="1">
        <v>0</v>
      </c>
      <c r="N124" s="1">
        <f t="shared" si="12"/>
        <v>0</v>
      </c>
    </row>
    <row r="125" spans="1:17" x14ac:dyDescent="0.2">
      <c r="A125" s="20" t="s">
        <v>42</v>
      </c>
      <c r="B125" s="33" t="s">
        <v>66</v>
      </c>
      <c r="C125" s="33"/>
      <c r="D125" s="33"/>
      <c r="E125" s="22">
        <v>0</v>
      </c>
      <c r="F125" s="22">
        <v>0</v>
      </c>
      <c r="H125" s="20" t="s">
        <v>42</v>
      </c>
      <c r="I125" s="33" t="s">
        <v>98</v>
      </c>
      <c r="J125" s="33"/>
      <c r="K125" s="33"/>
      <c r="L125" s="22">
        <v>0</v>
      </c>
      <c r="M125" s="22">
        <v>0</v>
      </c>
      <c r="N125" s="22">
        <f t="shared" si="12"/>
        <v>0</v>
      </c>
    </row>
    <row r="126" spans="1:17" ht="15" x14ac:dyDescent="0.25">
      <c r="A126" s="36" t="s">
        <v>37</v>
      </c>
      <c r="B126" s="14" t="s">
        <v>88</v>
      </c>
      <c r="C126" s="12"/>
      <c r="D126" s="12"/>
      <c r="E126" s="27">
        <f>SUM(E120:E125)</f>
        <v>175411.5</v>
      </c>
      <c r="F126" s="27">
        <f>SUM(F120:F125)</f>
        <v>4905.4000000000005</v>
      </c>
      <c r="H126" s="36" t="s">
        <v>37</v>
      </c>
      <c r="I126" s="14" t="s">
        <v>99</v>
      </c>
      <c r="J126" s="12"/>
      <c r="K126" s="12"/>
      <c r="L126" s="27">
        <f>SUM(L120:L125)</f>
        <v>30250</v>
      </c>
      <c r="M126" s="27">
        <f t="shared" ref="M126:N126" si="13">SUM(M120:M125)</f>
        <v>32693.4</v>
      </c>
      <c r="N126" s="27">
        <f t="shared" si="13"/>
        <v>30250</v>
      </c>
    </row>
    <row r="128" spans="1:17" x14ac:dyDescent="0.2">
      <c r="B128" s="12" t="s">
        <v>89</v>
      </c>
      <c r="C128" s="12"/>
      <c r="E128" s="1">
        <f>+E126*0.15</f>
        <v>26311.724999999999</v>
      </c>
    </row>
    <row r="129" spans="1:14" ht="15" x14ac:dyDescent="0.25">
      <c r="B129" s="12" t="s">
        <v>90</v>
      </c>
      <c r="C129" s="12"/>
      <c r="E129" s="1">
        <f>5*G17</f>
        <v>163467</v>
      </c>
      <c r="I129" s="29" t="s">
        <v>153</v>
      </c>
    </row>
    <row r="130" spans="1:14" ht="15" x14ac:dyDescent="0.25">
      <c r="H130" s="12"/>
      <c r="I130" s="183" t="s">
        <v>81</v>
      </c>
      <c r="J130" s="183"/>
      <c r="K130" s="183"/>
      <c r="L130" s="86" t="s">
        <v>82</v>
      </c>
      <c r="M130" s="86" t="s">
        <v>235</v>
      </c>
      <c r="N130" s="86" t="s">
        <v>234</v>
      </c>
    </row>
    <row r="131" spans="1:14" ht="15" x14ac:dyDescent="0.25">
      <c r="B131" s="15" t="s">
        <v>91</v>
      </c>
      <c r="C131" s="15"/>
      <c r="D131" s="15"/>
      <c r="E131" s="90">
        <f>+E128</f>
        <v>26311.724999999999</v>
      </c>
      <c r="H131" s="12"/>
      <c r="I131" s="12" t="s">
        <v>239</v>
      </c>
      <c r="J131" s="12"/>
      <c r="K131" s="12"/>
      <c r="L131" s="16">
        <v>11100</v>
      </c>
      <c r="M131" s="1">
        <v>152000</v>
      </c>
      <c r="N131" s="1">
        <f>+L131</f>
        <v>11100</v>
      </c>
    </row>
    <row r="132" spans="1:14" x14ac:dyDescent="0.2">
      <c r="H132" s="20" t="s">
        <v>42</v>
      </c>
      <c r="I132" s="33" t="s">
        <v>238</v>
      </c>
      <c r="J132" s="33"/>
      <c r="K132" s="33"/>
      <c r="L132" s="22">
        <v>36000</v>
      </c>
      <c r="M132" s="22">
        <f>12900</f>
        <v>12900</v>
      </c>
      <c r="N132" s="22">
        <f>+M132</f>
        <v>12900</v>
      </c>
    </row>
    <row r="133" spans="1:14" ht="15" x14ac:dyDescent="0.25">
      <c r="H133" s="36" t="s">
        <v>37</v>
      </c>
      <c r="I133" s="14" t="s">
        <v>103</v>
      </c>
      <c r="J133" s="12"/>
      <c r="K133" s="12"/>
      <c r="L133" s="27">
        <f>SUM(L131:L132)</f>
        <v>47100</v>
      </c>
      <c r="M133" s="27">
        <f t="shared" ref="M133:N133" si="14">SUM(M131:M132)</f>
        <v>164900</v>
      </c>
      <c r="N133" s="92">
        <f t="shared" si="14"/>
        <v>24000</v>
      </c>
    </row>
    <row r="134" spans="1:14" ht="15" x14ac:dyDescent="0.25">
      <c r="A134" s="95"/>
      <c r="B134" s="103" t="s">
        <v>237</v>
      </c>
      <c r="C134" s="95"/>
      <c r="D134" s="95"/>
      <c r="E134" s="95"/>
      <c r="F134" s="95"/>
    </row>
    <row r="135" spans="1:14" ht="15" x14ac:dyDescent="0.25">
      <c r="A135" s="93"/>
      <c r="B135" s="183" t="s">
        <v>81</v>
      </c>
      <c r="C135" s="183"/>
      <c r="D135" s="183"/>
      <c r="E135" s="86" t="s">
        <v>48</v>
      </c>
      <c r="F135" s="95"/>
    </row>
    <row r="136" spans="1:14" x14ac:dyDescent="0.2">
      <c r="A136" s="93"/>
      <c r="B136" s="93" t="s">
        <v>88</v>
      </c>
      <c r="C136" s="93"/>
      <c r="D136" s="93"/>
      <c r="E136" s="94">
        <f>+E126</f>
        <v>175411.5</v>
      </c>
      <c r="F136" s="95"/>
    </row>
    <row r="137" spans="1:14" x14ac:dyDescent="0.2">
      <c r="A137" s="96" t="s">
        <v>36</v>
      </c>
      <c r="B137" s="93" t="s">
        <v>104</v>
      </c>
      <c r="C137" s="93"/>
      <c r="D137" s="93"/>
      <c r="E137" s="97">
        <f>+F126</f>
        <v>4905.4000000000005</v>
      </c>
      <c r="F137" s="95"/>
    </row>
    <row r="138" spans="1:14" ht="15" x14ac:dyDescent="0.25">
      <c r="A138" s="96" t="s">
        <v>37</v>
      </c>
      <c r="B138" s="93" t="s">
        <v>105</v>
      </c>
      <c r="C138" s="93"/>
      <c r="D138" s="93"/>
      <c r="E138" s="94">
        <f>+E136-E137</f>
        <v>170506.1</v>
      </c>
      <c r="F138" s="95"/>
      <c r="I138" s="29" t="s">
        <v>236</v>
      </c>
    </row>
    <row r="139" spans="1:14" ht="15" x14ac:dyDescent="0.25">
      <c r="A139" s="96" t="s">
        <v>36</v>
      </c>
      <c r="B139" s="93" t="s">
        <v>106</v>
      </c>
      <c r="C139" s="93"/>
      <c r="D139" s="93"/>
      <c r="E139" s="97">
        <v>0</v>
      </c>
      <c r="F139" s="95"/>
      <c r="H139" s="12"/>
      <c r="I139" s="183" t="s">
        <v>81</v>
      </c>
      <c r="J139" s="183"/>
      <c r="K139" s="183"/>
      <c r="L139" s="86" t="s">
        <v>82</v>
      </c>
    </row>
    <row r="140" spans="1:14" x14ac:dyDescent="0.2">
      <c r="A140" s="96" t="s">
        <v>37</v>
      </c>
      <c r="B140" s="93" t="s">
        <v>107</v>
      </c>
      <c r="C140" s="93"/>
      <c r="D140" s="93"/>
      <c r="E140" s="94">
        <f>+E138-E139</f>
        <v>170506.1</v>
      </c>
      <c r="F140" s="95"/>
      <c r="H140" s="20"/>
      <c r="I140" s="12" t="s">
        <v>113</v>
      </c>
      <c r="J140" s="12"/>
      <c r="K140" s="12"/>
      <c r="L140" s="16">
        <f>+P36+P87</f>
        <v>9855.7812320000012</v>
      </c>
    </row>
    <row r="141" spans="1:14" x14ac:dyDescent="0.2">
      <c r="A141" s="96" t="s">
        <v>36</v>
      </c>
      <c r="B141" s="93" t="s">
        <v>108</v>
      </c>
      <c r="C141" s="93"/>
      <c r="D141" s="93"/>
      <c r="E141" s="97">
        <f>+E131+N133</f>
        <v>50311.724999999999</v>
      </c>
      <c r="F141" s="95"/>
      <c r="H141" s="20" t="s">
        <v>42</v>
      </c>
      <c r="I141" s="12" t="s">
        <v>114</v>
      </c>
      <c r="J141" s="12"/>
      <c r="K141" s="12"/>
      <c r="L141" s="16">
        <v>0</v>
      </c>
    </row>
    <row r="142" spans="1:14" ht="15" x14ac:dyDescent="0.25">
      <c r="A142" s="98" t="s">
        <v>37</v>
      </c>
      <c r="B142" s="99" t="s">
        <v>109</v>
      </c>
      <c r="C142" s="93"/>
      <c r="D142" s="93"/>
      <c r="E142" s="100">
        <f>+E140-E141</f>
        <v>120194.375</v>
      </c>
      <c r="F142" s="95"/>
      <c r="H142" s="20" t="s">
        <v>42</v>
      </c>
      <c r="I142" s="33" t="s">
        <v>115</v>
      </c>
      <c r="J142" s="33"/>
      <c r="K142" s="33"/>
      <c r="L142" s="22">
        <v>0</v>
      </c>
    </row>
    <row r="143" spans="1:14" ht="15" x14ac:dyDescent="0.25">
      <c r="A143" s="96" t="s">
        <v>36</v>
      </c>
      <c r="B143" s="93" t="s">
        <v>1</v>
      </c>
      <c r="C143" s="93"/>
      <c r="D143" s="93"/>
      <c r="E143" s="97">
        <f>VLOOKUP(E142,Tarifas!N3:Q16,1)</f>
        <v>115375.91</v>
      </c>
      <c r="F143" s="95"/>
      <c r="H143" s="36" t="s">
        <v>37</v>
      </c>
      <c r="I143" s="14" t="s">
        <v>116</v>
      </c>
      <c r="J143" s="14"/>
      <c r="K143" s="14"/>
      <c r="L143" s="27">
        <f>SUM(L140:L142)</f>
        <v>9855.7812320000012</v>
      </c>
    </row>
    <row r="144" spans="1:14" x14ac:dyDescent="0.2">
      <c r="A144" s="96" t="s">
        <v>37</v>
      </c>
      <c r="B144" s="93" t="s">
        <v>38</v>
      </c>
      <c r="C144" s="93"/>
      <c r="D144" s="93"/>
      <c r="E144" s="94">
        <f>+E142-E143</f>
        <v>4818.4649999999965</v>
      </c>
      <c r="F144" s="95"/>
      <c r="H144" s="20"/>
      <c r="I144" s="12"/>
      <c r="J144" s="12"/>
      <c r="K144" s="12"/>
      <c r="L144" s="16"/>
    </row>
    <row r="145" spans="1:12" ht="15" x14ac:dyDescent="0.25">
      <c r="A145" s="96" t="s">
        <v>39</v>
      </c>
      <c r="B145" s="93" t="s">
        <v>40</v>
      </c>
      <c r="C145" s="93"/>
      <c r="D145" s="93"/>
      <c r="E145" s="101">
        <f>VLOOKUP(E142,Tarifas!N3:Q16,4)/100</f>
        <v>0.16</v>
      </c>
      <c r="F145" s="95"/>
      <c r="H145" s="20"/>
      <c r="I145" s="15" t="s">
        <v>117</v>
      </c>
      <c r="J145" s="15"/>
      <c r="K145" s="15"/>
      <c r="L145" s="15">
        <v>0</v>
      </c>
    </row>
    <row r="146" spans="1:12" ht="15" x14ac:dyDescent="0.25">
      <c r="A146" s="96" t="s">
        <v>37</v>
      </c>
      <c r="B146" s="93" t="s">
        <v>41</v>
      </c>
      <c r="C146" s="93"/>
      <c r="D146" s="93"/>
      <c r="E146" s="94">
        <f>+E144*E145</f>
        <v>770.95439999999951</v>
      </c>
      <c r="F146" s="95"/>
      <c r="H146" s="36"/>
      <c r="I146" s="15" t="s">
        <v>118</v>
      </c>
      <c r="J146" s="15"/>
      <c r="K146" s="15"/>
      <c r="L146" s="15">
        <f>+P35</f>
        <v>4207.0599999999995</v>
      </c>
    </row>
    <row r="147" spans="1:12" x14ac:dyDescent="0.2">
      <c r="A147" s="96" t="s">
        <v>42</v>
      </c>
      <c r="B147" s="93" t="s">
        <v>3</v>
      </c>
      <c r="C147" s="93"/>
      <c r="D147" s="93"/>
      <c r="E147" s="97">
        <f>VLOOKUP(E142,Tarifas!N3:Q16,3)</f>
        <v>9265.2000000000007</v>
      </c>
      <c r="F147" s="95"/>
    </row>
    <row r="148" spans="1:12" ht="15" x14ac:dyDescent="0.25">
      <c r="A148" s="98" t="s">
        <v>37</v>
      </c>
      <c r="B148" s="99" t="s">
        <v>43</v>
      </c>
      <c r="C148" s="99"/>
      <c r="D148" s="99"/>
      <c r="E148" s="100">
        <f>+E146+E147</f>
        <v>10036.154399999999</v>
      </c>
      <c r="F148" s="95"/>
    </row>
    <row r="149" spans="1:12" x14ac:dyDescent="0.2">
      <c r="A149" s="96" t="s">
        <v>36</v>
      </c>
      <c r="B149" s="93" t="s">
        <v>110</v>
      </c>
      <c r="C149" s="93"/>
      <c r="D149" s="93"/>
      <c r="E149" s="102">
        <f>+L146</f>
        <v>4207.0599999999995</v>
      </c>
      <c r="F149" s="95"/>
    </row>
    <row r="150" spans="1:12" ht="15" thickBot="1" x14ac:dyDescent="0.25">
      <c r="A150" s="96" t="s">
        <v>36</v>
      </c>
      <c r="B150" s="93" t="s">
        <v>124</v>
      </c>
      <c r="C150" s="93"/>
      <c r="D150" s="93"/>
      <c r="E150" s="97">
        <f>+L143</f>
        <v>9855.7812320000012</v>
      </c>
      <c r="F150" s="95"/>
    </row>
    <row r="151" spans="1:12" ht="15.75" thickBot="1" x14ac:dyDescent="0.3">
      <c r="A151" s="98" t="s">
        <v>37</v>
      </c>
      <c r="B151" s="99" t="s">
        <v>125</v>
      </c>
      <c r="C151" s="93"/>
      <c r="D151" s="93"/>
      <c r="E151" s="119">
        <f>+E148-E149-E150</f>
        <v>-4026.6868320000012</v>
      </c>
      <c r="F151" s="95"/>
    </row>
    <row r="152" spans="1:12" x14ac:dyDescent="0.2">
      <c r="A152" s="95"/>
      <c r="B152" s="95"/>
      <c r="C152" s="95"/>
      <c r="D152" s="95"/>
      <c r="E152" s="95"/>
      <c r="F152" s="95"/>
    </row>
  </sheetData>
  <mergeCells count="17">
    <mergeCell ref="B105:D105"/>
    <mergeCell ref="B119:D119"/>
    <mergeCell ref="I119:K119"/>
    <mergeCell ref="I139:K139"/>
    <mergeCell ref="B13:D13"/>
    <mergeCell ref="B20:D20"/>
    <mergeCell ref="B25:C25"/>
    <mergeCell ref="B40:D40"/>
    <mergeCell ref="B47:D47"/>
    <mergeCell ref="B54:D54"/>
    <mergeCell ref="I130:K130"/>
    <mergeCell ref="B135:D135"/>
    <mergeCell ref="B64:D64"/>
    <mergeCell ref="B71:D71"/>
    <mergeCell ref="B76:C76"/>
    <mergeCell ref="B91:D91"/>
    <mergeCell ref="B98:D98"/>
  </mergeCells>
  <pageMargins left="0.7" right="0.7" top="0.75" bottom="0.75" header="0.3" footer="0.3"/>
  <pageSetup orientation="portrait" r:id="rId1"/>
  <ignoredErrors>
    <ignoredError sqref="E141 E143" 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42CC17-F090-4BFF-A8B0-92E6110E4968}">
  <sheetPr>
    <tabColor rgb="FFC00000"/>
  </sheetPr>
  <dimension ref="A10:Q137"/>
  <sheetViews>
    <sheetView topLeftCell="A94" workbookViewId="0">
      <selection activeCell="P107" sqref="P107"/>
    </sheetView>
  </sheetViews>
  <sheetFormatPr baseColWidth="10" defaultRowHeight="14.25" x14ac:dyDescent="0.2"/>
  <cols>
    <col min="1" max="1" width="3.875" style="1" customWidth="1"/>
    <col min="2" max="16384" width="11" style="1"/>
  </cols>
  <sheetData>
    <row r="10" spans="2:7" ht="15" x14ac:dyDescent="0.25">
      <c r="B10" s="89" t="s">
        <v>240</v>
      </c>
    </row>
    <row r="12" spans="2:7" ht="15" x14ac:dyDescent="0.25">
      <c r="B12" s="29" t="s">
        <v>61</v>
      </c>
    </row>
    <row r="13" spans="2:7" ht="15" x14ac:dyDescent="0.25">
      <c r="B13" s="183" t="s">
        <v>24</v>
      </c>
      <c r="C13" s="183"/>
      <c r="D13" s="183"/>
      <c r="E13" s="11">
        <v>2019</v>
      </c>
      <c r="F13" s="11">
        <v>2020</v>
      </c>
      <c r="G13" s="11">
        <v>2021</v>
      </c>
    </row>
    <row r="14" spans="2:7" x14ac:dyDescent="0.2">
      <c r="B14" s="12" t="s">
        <v>25</v>
      </c>
      <c r="C14" s="12"/>
      <c r="D14" s="12"/>
      <c r="E14" s="13">
        <v>102.68</v>
      </c>
      <c r="F14" s="13">
        <v>123.22</v>
      </c>
      <c r="G14" s="19">
        <v>141.69999999999999</v>
      </c>
    </row>
    <row r="15" spans="2:7" x14ac:dyDescent="0.2">
      <c r="B15" s="12" t="s">
        <v>26</v>
      </c>
      <c r="C15" s="12"/>
      <c r="D15" s="12"/>
      <c r="E15" s="13">
        <v>176.72</v>
      </c>
      <c r="F15" s="13">
        <v>185.56</v>
      </c>
      <c r="G15" s="19">
        <v>213.39</v>
      </c>
    </row>
    <row r="16" spans="2:7" x14ac:dyDescent="0.2">
      <c r="B16" s="12" t="s">
        <v>28</v>
      </c>
      <c r="C16" s="12"/>
      <c r="D16" s="12"/>
      <c r="E16" s="13">
        <v>84.49</v>
      </c>
      <c r="F16" s="13">
        <v>86.88</v>
      </c>
      <c r="G16" s="19">
        <v>89.62</v>
      </c>
    </row>
    <row r="17" spans="1:16" x14ac:dyDescent="0.2">
      <c r="B17" s="12" t="s">
        <v>29</v>
      </c>
      <c r="C17" s="12"/>
      <c r="D17" s="12"/>
      <c r="E17" s="16">
        <v>30822</v>
      </c>
      <c r="F17" s="16">
        <v>31693.8</v>
      </c>
      <c r="G17" s="19">
        <v>32693.4</v>
      </c>
    </row>
    <row r="20" spans="1:16" ht="15" x14ac:dyDescent="0.25">
      <c r="B20" s="183" t="s">
        <v>34</v>
      </c>
      <c r="C20" s="183"/>
      <c r="D20" s="183" t="s">
        <v>31</v>
      </c>
      <c r="E20" s="11" t="s">
        <v>33</v>
      </c>
      <c r="F20" s="11" t="s">
        <v>32</v>
      </c>
      <c r="G20" s="11" t="s">
        <v>31</v>
      </c>
    </row>
    <row r="21" spans="1:16" x14ac:dyDescent="0.2">
      <c r="B21" s="1" t="s">
        <v>30</v>
      </c>
      <c r="E21" s="1">
        <v>7800</v>
      </c>
      <c r="F21" s="1">
        <v>7800</v>
      </c>
      <c r="G21" s="19">
        <v>7800</v>
      </c>
    </row>
    <row r="22" spans="1:16" x14ac:dyDescent="0.2">
      <c r="B22" s="1" t="s">
        <v>27</v>
      </c>
      <c r="E22" s="1">
        <f>+E21/30</f>
        <v>260</v>
      </c>
      <c r="F22" s="1">
        <f>+F21/30</f>
        <v>260</v>
      </c>
      <c r="G22" s="19">
        <f>+G21/30.4</f>
        <v>256.57894736842104</v>
      </c>
    </row>
    <row r="24" spans="1:16" ht="15" x14ac:dyDescent="0.25">
      <c r="B24" s="29" t="s">
        <v>62</v>
      </c>
    </row>
    <row r="25" spans="1:16" ht="15" x14ac:dyDescent="0.25">
      <c r="B25" s="184" t="s">
        <v>34</v>
      </c>
      <c r="C25" s="184"/>
      <c r="D25" s="21" t="s">
        <v>12</v>
      </c>
      <c r="E25" s="21" t="s">
        <v>16</v>
      </c>
      <c r="F25" s="21" t="s">
        <v>20</v>
      </c>
      <c r="G25" s="21" t="s">
        <v>13</v>
      </c>
      <c r="H25" s="21" t="s">
        <v>17</v>
      </c>
      <c r="I25" s="21" t="s">
        <v>21</v>
      </c>
      <c r="J25" s="21" t="s">
        <v>14</v>
      </c>
      <c r="K25" s="21" t="s">
        <v>18</v>
      </c>
      <c r="L25" s="21" t="s">
        <v>22</v>
      </c>
      <c r="M25" s="21" t="s">
        <v>15</v>
      </c>
      <c r="N25" s="21" t="s">
        <v>19</v>
      </c>
      <c r="O25" s="21" t="s">
        <v>23</v>
      </c>
      <c r="P25" s="11" t="s">
        <v>64</v>
      </c>
    </row>
    <row r="26" spans="1:16" ht="15" x14ac:dyDescent="0.25">
      <c r="A26" s="12"/>
      <c r="B26" s="12" t="s">
        <v>30</v>
      </c>
      <c r="C26" s="12"/>
      <c r="D26" s="1">
        <f>+$G$21</f>
        <v>7800</v>
      </c>
      <c r="E26" s="1">
        <f t="shared" ref="E26:O26" si="0">+$G$21</f>
        <v>7800</v>
      </c>
      <c r="F26" s="1">
        <f t="shared" si="0"/>
        <v>7800</v>
      </c>
      <c r="G26" s="1">
        <f t="shared" si="0"/>
        <v>7800</v>
      </c>
      <c r="H26" s="1">
        <f t="shared" si="0"/>
        <v>7800</v>
      </c>
      <c r="I26" s="1">
        <f t="shared" si="0"/>
        <v>7800</v>
      </c>
      <c r="J26" s="1">
        <f t="shared" si="0"/>
        <v>7800</v>
      </c>
      <c r="K26" s="1">
        <f t="shared" si="0"/>
        <v>7800</v>
      </c>
      <c r="L26" s="1">
        <f t="shared" si="0"/>
        <v>7800</v>
      </c>
      <c r="M26" s="1">
        <f t="shared" si="0"/>
        <v>7800</v>
      </c>
      <c r="N26" s="1">
        <f t="shared" si="0"/>
        <v>7800</v>
      </c>
      <c r="O26" s="1">
        <f t="shared" si="0"/>
        <v>7800</v>
      </c>
      <c r="P26" s="15">
        <f>SUM(D26:O26)</f>
        <v>93600</v>
      </c>
    </row>
    <row r="27" spans="1:16" x14ac:dyDescent="0.2">
      <c r="A27" s="20" t="s">
        <v>42</v>
      </c>
      <c r="B27" s="12" t="s">
        <v>46</v>
      </c>
      <c r="C27" s="12"/>
      <c r="D27" s="25">
        <v>0</v>
      </c>
      <c r="E27" s="25">
        <v>0</v>
      </c>
      <c r="F27" s="25">
        <v>0</v>
      </c>
      <c r="G27" s="25">
        <v>0</v>
      </c>
      <c r="H27" s="39">
        <f>+E44</f>
        <v>7155.7</v>
      </c>
      <c r="I27" s="25">
        <v>0</v>
      </c>
      <c r="J27" s="25">
        <v>0</v>
      </c>
      <c r="K27" s="25">
        <v>0</v>
      </c>
      <c r="L27" s="25">
        <v>0</v>
      </c>
      <c r="M27" s="25">
        <v>0</v>
      </c>
      <c r="N27" s="25">
        <v>0</v>
      </c>
      <c r="O27" s="39">
        <f>+E58</f>
        <v>1211.3999999999996</v>
      </c>
      <c r="P27" s="32"/>
    </row>
    <row r="28" spans="1:16" ht="15" x14ac:dyDescent="0.25">
      <c r="A28" s="26" t="s">
        <v>37</v>
      </c>
      <c r="B28" s="14" t="s">
        <v>35</v>
      </c>
      <c r="C28" s="14"/>
      <c r="D28" s="15">
        <f>+D26+D27</f>
        <v>7800</v>
      </c>
      <c r="E28" s="15">
        <f>+E26+E27</f>
        <v>7800</v>
      </c>
      <c r="F28" s="15">
        <f t="shared" ref="F28:J28" si="1">+F26+F27</f>
        <v>7800</v>
      </c>
      <c r="G28" s="15">
        <f t="shared" si="1"/>
        <v>7800</v>
      </c>
      <c r="H28" s="15">
        <f t="shared" si="1"/>
        <v>14955.7</v>
      </c>
      <c r="I28" s="15">
        <f t="shared" si="1"/>
        <v>7800</v>
      </c>
      <c r="J28" s="15">
        <f t="shared" si="1"/>
        <v>7800</v>
      </c>
      <c r="K28" s="15">
        <f t="shared" ref="K28" si="2">+K26+K27</f>
        <v>7800</v>
      </c>
      <c r="L28" s="15">
        <f t="shared" ref="L28" si="3">+L26+L27</f>
        <v>7800</v>
      </c>
      <c r="M28" s="15">
        <f t="shared" ref="M28" si="4">+M26+M27</f>
        <v>7800</v>
      </c>
      <c r="N28" s="15">
        <f t="shared" ref="N28" si="5">+N26+N27</f>
        <v>7800</v>
      </c>
      <c r="O28" s="15">
        <f t="shared" ref="O28" si="6">+O26+O27</f>
        <v>9011.4</v>
      </c>
    </row>
    <row r="29" spans="1:16" x14ac:dyDescent="0.2">
      <c r="A29" s="20" t="s">
        <v>36</v>
      </c>
      <c r="B29" s="12" t="s">
        <v>1</v>
      </c>
      <c r="C29" s="12"/>
      <c r="D29" s="22">
        <f>VLOOKUP(D28,Tarifas!$B$3:$E$16,1)</f>
        <v>5470.93</v>
      </c>
      <c r="E29" s="22">
        <f>VLOOKUP(E28,Tarifas!$B$3:$E$16,1)</f>
        <v>5470.93</v>
      </c>
      <c r="F29" s="22">
        <f>VLOOKUP(F28,Tarifas!$B$3:$E$16,1)</f>
        <v>5470.93</v>
      </c>
      <c r="G29" s="22">
        <f>VLOOKUP(G28,Tarifas!$B$3:$E$16,1)</f>
        <v>5470.93</v>
      </c>
      <c r="H29" s="22">
        <f>VLOOKUP(H28,Tarifas!$B$3:$E$16,1)</f>
        <v>13381.48</v>
      </c>
      <c r="I29" s="22">
        <f>VLOOKUP(I28,Tarifas!$B$3:$E$16,1)</f>
        <v>5470.93</v>
      </c>
      <c r="J29" s="22">
        <f>VLOOKUP(J28,Tarifas!$B$3:$E$16,1)</f>
        <v>5470.93</v>
      </c>
      <c r="K29" s="22">
        <f>VLOOKUP(K28,Tarifas!$B$3:$E$16,1)</f>
        <v>5470.93</v>
      </c>
      <c r="L29" s="22">
        <f>VLOOKUP(L28,Tarifas!$B$3:$E$16,1)</f>
        <v>5470.93</v>
      </c>
      <c r="M29" s="22">
        <f>VLOOKUP(M28,Tarifas!$B$3:$E$16,1)</f>
        <v>5470.93</v>
      </c>
      <c r="N29" s="22">
        <f>VLOOKUP(N28,Tarifas!$B$3:$E$16,1)</f>
        <v>5470.93</v>
      </c>
      <c r="O29" s="22">
        <f>VLOOKUP(O28,Tarifas!$B$3:$E$16,1)</f>
        <v>5470.93</v>
      </c>
    </row>
    <row r="30" spans="1:16" x14ac:dyDescent="0.2">
      <c r="A30" s="20" t="s">
        <v>37</v>
      </c>
      <c r="B30" s="12" t="s">
        <v>38</v>
      </c>
      <c r="C30" s="12"/>
      <c r="D30" s="16">
        <f>+D28-D29</f>
        <v>2329.0699999999997</v>
      </c>
      <c r="E30" s="16">
        <f t="shared" ref="E30:J30" si="7">+E28-E29</f>
        <v>2329.0699999999997</v>
      </c>
      <c r="F30" s="16">
        <f t="shared" si="7"/>
        <v>2329.0699999999997</v>
      </c>
      <c r="G30" s="16">
        <f t="shared" si="7"/>
        <v>2329.0699999999997</v>
      </c>
      <c r="H30" s="16">
        <f t="shared" si="7"/>
        <v>1574.2200000000012</v>
      </c>
      <c r="I30" s="16">
        <f t="shared" si="7"/>
        <v>2329.0699999999997</v>
      </c>
      <c r="J30" s="16">
        <f t="shared" si="7"/>
        <v>2329.0699999999997</v>
      </c>
      <c r="K30" s="16">
        <f t="shared" ref="K30" si="8">+K28-K29</f>
        <v>2329.0699999999997</v>
      </c>
      <c r="L30" s="16">
        <f t="shared" ref="L30" si="9">+L28-L29</f>
        <v>2329.0699999999997</v>
      </c>
      <c r="M30" s="16">
        <f t="shared" ref="M30" si="10">+M28-M29</f>
        <v>2329.0699999999997</v>
      </c>
      <c r="N30" s="16">
        <f t="shared" ref="N30" si="11">+N28-N29</f>
        <v>2329.0699999999997</v>
      </c>
      <c r="O30" s="16">
        <f t="shared" ref="O30" si="12">+O28-O29</f>
        <v>3540.4699999999993</v>
      </c>
    </row>
    <row r="31" spans="1:16" x14ac:dyDescent="0.2">
      <c r="A31" s="20" t="s">
        <v>39</v>
      </c>
      <c r="B31" s="12" t="s">
        <v>40</v>
      </c>
      <c r="C31" s="12"/>
      <c r="D31" s="23">
        <f>VLOOKUP(D28,Tarifas!$B$3:$E$16,4)/100</f>
        <v>0.10880000000000001</v>
      </c>
      <c r="E31" s="23">
        <f>VLOOKUP(E28,Tarifas!$B$3:$E$16,4)/100</f>
        <v>0.10880000000000001</v>
      </c>
      <c r="F31" s="23">
        <f>VLOOKUP(F28,Tarifas!$B$3:$E$16,4)/100</f>
        <v>0.10880000000000001</v>
      </c>
      <c r="G31" s="23">
        <f>VLOOKUP(G28,Tarifas!$B$3:$E$16,4)/100</f>
        <v>0.10880000000000001</v>
      </c>
      <c r="H31" s="23">
        <f>VLOOKUP(H28,Tarifas!$B$3:$E$16,4)/100</f>
        <v>0.21359999999999998</v>
      </c>
      <c r="I31" s="23">
        <f>VLOOKUP(I28,Tarifas!$B$3:$E$16,4)/100</f>
        <v>0.10880000000000001</v>
      </c>
      <c r="J31" s="23">
        <f>VLOOKUP(J28,Tarifas!$B$3:$E$16,4)/100</f>
        <v>0.10880000000000001</v>
      </c>
      <c r="K31" s="23">
        <f>VLOOKUP(K28,Tarifas!$B$3:$E$16,4)/100</f>
        <v>0.10880000000000001</v>
      </c>
      <c r="L31" s="23">
        <f>VLOOKUP(L28,Tarifas!$B$3:$E$16,4)/100</f>
        <v>0.10880000000000001</v>
      </c>
      <c r="M31" s="23">
        <f>VLOOKUP(M28,Tarifas!$B$3:$E$16,4)/100</f>
        <v>0.10880000000000001</v>
      </c>
      <c r="N31" s="23">
        <f>VLOOKUP(N28,Tarifas!$B$3:$E$16,4)/100</f>
        <v>0.10880000000000001</v>
      </c>
      <c r="O31" s="23">
        <f>VLOOKUP(O28,Tarifas!$B$3:$E$16,4)/100</f>
        <v>0.10880000000000001</v>
      </c>
    </row>
    <row r="32" spans="1:16" x14ac:dyDescent="0.2">
      <c r="A32" s="20" t="s">
        <v>37</v>
      </c>
      <c r="B32" s="12" t="s">
        <v>41</v>
      </c>
      <c r="C32" s="12"/>
      <c r="D32" s="16">
        <f>+D30*D31</f>
        <v>253.40281599999997</v>
      </c>
      <c r="E32" s="16">
        <f t="shared" ref="E32:J32" si="13">+E30*E31</f>
        <v>253.40281599999997</v>
      </c>
      <c r="F32" s="16">
        <f t="shared" si="13"/>
        <v>253.40281599999997</v>
      </c>
      <c r="G32" s="16">
        <f t="shared" si="13"/>
        <v>253.40281599999997</v>
      </c>
      <c r="H32" s="16">
        <f t="shared" si="13"/>
        <v>336.25339200000025</v>
      </c>
      <c r="I32" s="16">
        <f t="shared" si="13"/>
        <v>253.40281599999997</v>
      </c>
      <c r="J32" s="16">
        <f t="shared" si="13"/>
        <v>253.40281599999997</v>
      </c>
      <c r="K32" s="16">
        <f t="shared" ref="K32" si="14">+K30*K31</f>
        <v>253.40281599999997</v>
      </c>
      <c r="L32" s="16">
        <f t="shared" ref="L32" si="15">+L30*L31</f>
        <v>253.40281599999997</v>
      </c>
      <c r="M32" s="16">
        <f t="shared" ref="M32" si="16">+M30*M31</f>
        <v>253.40281599999997</v>
      </c>
      <c r="N32" s="16">
        <f t="shared" ref="N32" si="17">+N30*N31</f>
        <v>253.40281599999997</v>
      </c>
      <c r="O32" s="16">
        <f t="shared" ref="O32" si="18">+O30*O31</f>
        <v>385.20313599999997</v>
      </c>
    </row>
    <row r="33" spans="1:16" x14ac:dyDescent="0.2">
      <c r="A33" s="20" t="s">
        <v>42</v>
      </c>
      <c r="B33" s="12" t="s">
        <v>3</v>
      </c>
      <c r="C33" s="12"/>
      <c r="D33" s="22">
        <f>VLOOKUP(D28,Tarifas!$B$3:$E$16,3)</f>
        <v>321.26</v>
      </c>
      <c r="E33" s="22">
        <f>VLOOKUP(E28,Tarifas!$B$3:$E$16,3)</f>
        <v>321.26</v>
      </c>
      <c r="F33" s="22">
        <f>VLOOKUP(F28,Tarifas!$B$3:$E$16,3)</f>
        <v>321.26</v>
      </c>
      <c r="G33" s="22">
        <f>VLOOKUP(G28,Tarifas!$B$3:$E$16,3)</f>
        <v>321.26</v>
      </c>
      <c r="H33" s="22">
        <f>VLOOKUP(H28,Tarifas!$B$3:$E$16,3)</f>
        <v>1417.12</v>
      </c>
      <c r="I33" s="22">
        <f>VLOOKUP(I28,Tarifas!$B$3:$E$16,3)</f>
        <v>321.26</v>
      </c>
      <c r="J33" s="22">
        <f>VLOOKUP(J28,Tarifas!$B$3:$E$16,3)</f>
        <v>321.26</v>
      </c>
      <c r="K33" s="22">
        <f>VLOOKUP(K28,Tarifas!$B$3:$E$16,3)</f>
        <v>321.26</v>
      </c>
      <c r="L33" s="22">
        <f>VLOOKUP(L28,Tarifas!$B$3:$E$16,3)</f>
        <v>321.26</v>
      </c>
      <c r="M33" s="22">
        <f>VLOOKUP(M28,Tarifas!$B$3:$E$16,3)</f>
        <v>321.26</v>
      </c>
      <c r="N33" s="22">
        <f>VLOOKUP(N28,Tarifas!$B$3:$E$16,3)</f>
        <v>321.26</v>
      </c>
      <c r="O33" s="22">
        <f>VLOOKUP(O28,Tarifas!$B$3:$E$16,3)</f>
        <v>321.26</v>
      </c>
    </row>
    <row r="34" spans="1:16" ht="15" x14ac:dyDescent="0.25">
      <c r="A34" s="26" t="s">
        <v>37</v>
      </c>
      <c r="B34" s="14" t="s">
        <v>43</v>
      </c>
      <c r="C34" s="14"/>
      <c r="D34" s="27">
        <f>+D32+D33</f>
        <v>574.66281600000002</v>
      </c>
      <c r="E34" s="27">
        <f t="shared" ref="E34:J34" si="19">+E32+E33</f>
        <v>574.66281600000002</v>
      </c>
      <c r="F34" s="27">
        <f t="shared" si="19"/>
        <v>574.66281600000002</v>
      </c>
      <c r="G34" s="27">
        <f t="shared" si="19"/>
        <v>574.66281600000002</v>
      </c>
      <c r="H34" s="27">
        <f t="shared" si="19"/>
        <v>1753.3733920000002</v>
      </c>
      <c r="I34" s="27">
        <f t="shared" si="19"/>
        <v>574.66281600000002</v>
      </c>
      <c r="J34" s="27">
        <f t="shared" si="19"/>
        <v>574.66281600000002</v>
      </c>
      <c r="K34" s="27">
        <f t="shared" ref="K34" si="20">+K32+K33</f>
        <v>574.66281600000002</v>
      </c>
      <c r="L34" s="27">
        <f t="shared" ref="L34" si="21">+L32+L33</f>
        <v>574.66281600000002</v>
      </c>
      <c r="M34" s="27">
        <f t="shared" ref="M34" si="22">+M32+M33</f>
        <v>574.66281600000002</v>
      </c>
      <c r="N34" s="27">
        <f t="shared" ref="N34" si="23">+N32+N33</f>
        <v>574.66281600000002</v>
      </c>
      <c r="O34" s="27">
        <f t="shared" ref="O34" si="24">+O32+O33</f>
        <v>706.46313599999996</v>
      </c>
    </row>
    <row r="35" spans="1:16" ht="15" x14ac:dyDescent="0.25">
      <c r="A35" s="20" t="s">
        <v>36</v>
      </c>
      <c r="B35" s="12" t="s">
        <v>44</v>
      </c>
      <c r="C35" s="12"/>
      <c r="D35" s="22">
        <f>VLOOKUP(D28,Tarifas!$B$20:$D$33,3)</f>
        <v>0</v>
      </c>
      <c r="E35" s="22">
        <f>VLOOKUP(E28,Tarifas!$B$20:$D$33,3)</f>
        <v>0</v>
      </c>
      <c r="F35" s="22">
        <f>VLOOKUP(F28,Tarifas!$B$20:$D$33,3)</f>
        <v>0</v>
      </c>
      <c r="G35" s="22">
        <f>VLOOKUP(G28,Tarifas!$B$20:$D$33,3)</f>
        <v>0</v>
      </c>
      <c r="H35" s="22">
        <f>VLOOKUP(H28,Tarifas!$B$20:$D$33,3)</f>
        <v>0</v>
      </c>
      <c r="I35" s="22">
        <f>VLOOKUP(I28,Tarifas!$B$20:$D$33,3)</f>
        <v>0</v>
      </c>
      <c r="J35" s="22">
        <f>VLOOKUP(J28,Tarifas!$B$20:$D$33,3)</f>
        <v>0</v>
      </c>
      <c r="K35" s="22">
        <f>VLOOKUP(K28,Tarifas!$B$20:$D$33,3)</f>
        <v>0</v>
      </c>
      <c r="L35" s="22">
        <f>VLOOKUP(L28,Tarifas!$B$20:$D$33,3)</f>
        <v>0</v>
      </c>
      <c r="M35" s="22">
        <f>VLOOKUP(M28,Tarifas!$B$20:$D$33,3)</f>
        <v>0</v>
      </c>
      <c r="N35" s="22">
        <f>VLOOKUP(N28,Tarifas!$B$20:$D$33,3)</f>
        <v>0</v>
      </c>
      <c r="O35" s="22">
        <f>VLOOKUP(O28,Tarifas!$B$20:$D$33,3)</f>
        <v>0</v>
      </c>
      <c r="P35" s="31">
        <f>SUM(D35:O35)</f>
        <v>0</v>
      </c>
    </row>
    <row r="36" spans="1:16" ht="15" x14ac:dyDescent="0.25">
      <c r="A36" s="20" t="s">
        <v>37</v>
      </c>
      <c r="B36" s="12" t="s">
        <v>45</v>
      </c>
      <c r="C36" s="12"/>
      <c r="D36" s="24">
        <f>+D34-D35</f>
        <v>574.66281600000002</v>
      </c>
      <c r="E36" s="24">
        <f t="shared" ref="E36:J36" si="25">+E34-E35</f>
        <v>574.66281600000002</v>
      </c>
      <c r="F36" s="24">
        <f t="shared" si="25"/>
        <v>574.66281600000002</v>
      </c>
      <c r="G36" s="24">
        <f t="shared" si="25"/>
        <v>574.66281600000002</v>
      </c>
      <c r="H36" s="24">
        <f t="shared" si="25"/>
        <v>1753.3733920000002</v>
      </c>
      <c r="I36" s="24">
        <f t="shared" si="25"/>
        <v>574.66281600000002</v>
      </c>
      <c r="J36" s="24">
        <f t="shared" si="25"/>
        <v>574.66281600000002</v>
      </c>
      <c r="K36" s="24">
        <f t="shared" ref="K36" si="26">+K34-K35</f>
        <v>574.66281600000002</v>
      </c>
      <c r="L36" s="24">
        <f t="shared" ref="L36" si="27">+L34-L35</f>
        <v>574.66281600000002</v>
      </c>
      <c r="M36" s="24">
        <f t="shared" ref="M36" si="28">+M34-M35</f>
        <v>574.66281600000002</v>
      </c>
      <c r="N36" s="24">
        <f t="shared" ref="N36" si="29">+N34-N35</f>
        <v>574.66281600000002</v>
      </c>
      <c r="O36" s="24">
        <f t="shared" ref="O36" si="30">+O34-O35</f>
        <v>706.46313599999996</v>
      </c>
      <c r="P36" s="110">
        <f>SUM(D36:O36)</f>
        <v>8206.464688</v>
      </c>
    </row>
    <row r="39" spans="1:16" ht="15" x14ac:dyDescent="0.25">
      <c r="B39" s="29" t="s">
        <v>63</v>
      </c>
    </row>
    <row r="40" spans="1:16" ht="15" x14ac:dyDescent="0.25">
      <c r="B40" s="183" t="s">
        <v>47</v>
      </c>
      <c r="C40" s="183"/>
      <c r="D40" s="183"/>
      <c r="E40" s="11" t="s">
        <v>48</v>
      </c>
    </row>
    <row r="41" spans="1:16" x14ac:dyDescent="0.2">
      <c r="B41" s="12" t="s">
        <v>49</v>
      </c>
      <c r="C41" s="12"/>
      <c r="D41" s="12"/>
      <c r="E41" s="16">
        <v>8500</v>
      </c>
    </row>
    <row r="42" spans="1:16" x14ac:dyDescent="0.2">
      <c r="B42" s="12" t="s">
        <v>50</v>
      </c>
      <c r="C42" s="12"/>
      <c r="D42" s="12"/>
      <c r="E42" s="16">
        <f>+G16</f>
        <v>89.62</v>
      </c>
    </row>
    <row r="43" spans="1:16" ht="15" x14ac:dyDescent="0.25">
      <c r="B43" s="12" t="s">
        <v>51</v>
      </c>
      <c r="C43" s="12"/>
      <c r="D43" s="12"/>
      <c r="E43" s="22">
        <f>IF(E41&gt;(E42*30),E42*15,E41)</f>
        <v>1344.3000000000002</v>
      </c>
      <c r="F43" s="28" t="s">
        <v>347</v>
      </c>
      <c r="H43" s="89" t="s">
        <v>228</v>
      </c>
    </row>
    <row r="44" spans="1:16" ht="15" x14ac:dyDescent="0.25">
      <c r="B44" s="14" t="s">
        <v>52</v>
      </c>
      <c r="C44" s="14"/>
      <c r="D44" s="14"/>
      <c r="E44" s="40">
        <f>+E41-E43</f>
        <v>7155.7</v>
      </c>
    </row>
    <row r="45" spans="1:16" ht="15" x14ac:dyDescent="0.25">
      <c r="B45" s="14"/>
      <c r="C45" s="14"/>
      <c r="D45" s="14"/>
      <c r="E45" s="27"/>
    </row>
    <row r="47" spans="1:16" ht="15" x14ac:dyDescent="0.25">
      <c r="B47" s="183" t="s">
        <v>53</v>
      </c>
      <c r="C47" s="183"/>
      <c r="D47" s="183"/>
      <c r="E47" s="11" t="s">
        <v>48</v>
      </c>
    </row>
    <row r="48" spans="1:16" x14ac:dyDescent="0.2">
      <c r="B48" s="12" t="s">
        <v>54</v>
      </c>
      <c r="C48" s="12"/>
      <c r="D48" s="12"/>
      <c r="E48" s="16">
        <f>E22*(6*0.25)</f>
        <v>390</v>
      </c>
      <c r="F48" s="28" t="s">
        <v>241</v>
      </c>
    </row>
    <row r="49" spans="1:17" x14ac:dyDescent="0.2">
      <c r="B49" s="12" t="s">
        <v>50</v>
      </c>
      <c r="C49" s="12"/>
      <c r="D49" s="12"/>
      <c r="E49" s="16">
        <f>+G16</f>
        <v>89.62</v>
      </c>
    </row>
    <row r="50" spans="1:17" ht="15" x14ac:dyDescent="0.25">
      <c r="B50" s="12" t="s">
        <v>55</v>
      </c>
      <c r="C50" s="12"/>
      <c r="D50" s="12"/>
      <c r="E50" s="22">
        <f>IF(E48&gt;(E49*30),E49*15,E48)</f>
        <v>390</v>
      </c>
      <c r="F50" s="28" t="s">
        <v>347</v>
      </c>
      <c r="G50" s="28"/>
      <c r="H50" s="89" t="s">
        <v>229</v>
      </c>
    </row>
    <row r="51" spans="1:17" ht="15" x14ac:dyDescent="0.25">
      <c r="B51" s="14" t="s">
        <v>56</v>
      </c>
      <c r="C51" s="14"/>
      <c r="D51" s="14"/>
      <c r="E51" s="27">
        <f>+E48-E50</f>
        <v>0</v>
      </c>
    </row>
    <row r="54" spans="1:17" ht="15" x14ac:dyDescent="0.25">
      <c r="B54" s="183" t="s">
        <v>57</v>
      </c>
      <c r="C54" s="183"/>
      <c r="D54" s="183"/>
      <c r="E54" s="11" t="s">
        <v>48</v>
      </c>
    </row>
    <row r="55" spans="1:17" x14ac:dyDescent="0.2">
      <c r="B55" s="12" t="s">
        <v>58</v>
      </c>
      <c r="C55" s="12"/>
      <c r="D55" s="12"/>
      <c r="E55" s="16">
        <f>+E22*15</f>
        <v>3900</v>
      </c>
      <c r="F55" s="28" t="s">
        <v>242</v>
      </c>
    </row>
    <row r="56" spans="1:17" x14ac:dyDescent="0.2">
      <c r="B56" s="12" t="s">
        <v>50</v>
      </c>
      <c r="C56" s="12"/>
      <c r="D56" s="12"/>
      <c r="E56" s="16">
        <f>+G16</f>
        <v>89.62</v>
      </c>
    </row>
    <row r="57" spans="1:17" ht="15" x14ac:dyDescent="0.25">
      <c r="B57" s="12" t="s">
        <v>59</v>
      </c>
      <c r="C57" s="12"/>
      <c r="D57" s="12"/>
      <c r="E57" s="22">
        <f>IF(E55&gt;(E56*30),E56*30,E55)</f>
        <v>2688.6000000000004</v>
      </c>
      <c r="F57" s="28" t="s">
        <v>350</v>
      </c>
      <c r="H57" s="89" t="s">
        <v>230</v>
      </c>
    </row>
    <row r="58" spans="1:17" ht="15" x14ac:dyDescent="0.25">
      <c r="B58" s="14" t="s">
        <v>60</v>
      </c>
      <c r="C58" s="12"/>
      <c r="D58" s="12"/>
      <c r="E58" s="40">
        <f>+E55-E57</f>
        <v>1211.3999999999996</v>
      </c>
    </row>
    <row r="60" spans="1:17" x14ac:dyDescent="0.2">
      <c r="A60" s="91"/>
      <c r="B60" s="91"/>
      <c r="C60" s="91"/>
      <c r="D60" s="91"/>
      <c r="E60" s="91"/>
      <c r="F60" s="91"/>
      <c r="G60" s="91"/>
      <c r="H60" s="91"/>
      <c r="I60" s="91"/>
      <c r="J60" s="91"/>
      <c r="K60" s="91"/>
      <c r="L60" s="91"/>
      <c r="M60" s="91"/>
      <c r="N60" s="91"/>
      <c r="O60" s="91"/>
      <c r="P60" s="91"/>
      <c r="Q60" s="91"/>
    </row>
    <row r="63" spans="1:17" ht="15" x14ac:dyDescent="0.25">
      <c r="B63" s="29" t="s">
        <v>245</v>
      </c>
    </row>
    <row r="64" spans="1:17" ht="15" x14ac:dyDescent="0.25">
      <c r="A64" s="12"/>
      <c r="B64" s="30" t="s">
        <v>34</v>
      </c>
      <c r="C64" s="30"/>
      <c r="D64" s="11" t="s">
        <v>12</v>
      </c>
      <c r="E64" s="11" t="s">
        <v>16</v>
      </c>
      <c r="F64" s="11" t="s">
        <v>20</v>
      </c>
      <c r="G64" s="11" t="s">
        <v>13</v>
      </c>
      <c r="H64" s="11" t="s">
        <v>17</v>
      </c>
      <c r="I64" s="11" t="s">
        <v>21</v>
      </c>
      <c r="J64" s="11" t="s">
        <v>14</v>
      </c>
      <c r="K64" s="11" t="s">
        <v>18</v>
      </c>
      <c r="L64" s="11" t="s">
        <v>22</v>
      </c>
      <c r="M64" s="11" t="s">
        <v>15</v>
      </c>
      <c r="N64" s="11" t="s">
        <v>19</v>
      </c>
      <c r="O64" s="11" t="s">
        <v>23</v>
      </c>
      <c r="P64" s="11" t="s">
        <v>64</v>
      </c>
    </row>
    <row r="65" spans="1:17" ht="15" x14ac:dyDescent="0.25">
      <c r="A65" s="12"/>
      <c r="B65" s="12" t="s">
        <v>65</v>
      </c>
      <c r="C65" s="12"/>
      <c r="D65" s="16">
        <v>12000</v>
      </c>
      <c r="E65" s="16">
        <v>13000</v>
      </c>
      <c r="F65" s="16">
        <v>7500</v>
      </c>
      <c r="G65" s="16">
        <v>8600</v>
      </c>
      <c r="H65" s="16">
        <v>22000</v>
      </c>
      <c r="I65" s="16">
        <v>6700</v>
      </c>
      <c r="J65" s="16">
        <v>22000</v>
      </c>
      <c r="K65" s="16">
        <v>31000</v>
      </c>
      <c r="L65" s="16">
        <v>12500</v>
      </c>
      <c r="M65" s="16">
        <v>8600</v>
      </c>
      <c r="N65" s="16">
        <v>17100</v>
      </c>
      <c r="O65" s="16">
        <v>45000</v>
      </c>
      <c r="P65" s="40">
        <f>SUM(D65:O65)</f>
        <v>206000</v>
      </c>
    </row>
    <row r="66" spans="1:17" x14ac:dyDescent="0.2">
      <c r="A66" s="20" t="s">
        <v>36</v>
      </c>
      <c r="B66" s="12" t="s">
        <v>1</v>
      </c>
      <c r="C66" s="12"/>
      <c r="D66" s="22">
        <f>VLOOKUP(D65,Tarifas!$B$3:$E$16,1)</f>
        <v>11176.63</v>
      </c>
      <c r="E66" s="22">
        <f>VLOOKUP(E65,Tarifas!$B$3:$E$16,1)</f>
        <v>11176.63</v>
      </c>
      <c r="F66" s="22">
        <f>VLOOKUP(F65,Tarifas!$B$3:$E$16,1)</f>
        <v>5470.93</v>
      </c>
      <c r="G66" s="22">
        <f>VLOOKUP(G65,Tarifas!$B$3:$E$16,1)</f>
        <v>5470.93</v>
      </c>
      <c r="H66" s="22">
        <f>VLOOKUP(H65,Tarifas!$B$3:$E$16,1)</f>
        <v>13381.48</v>
      </c>
      <c r="I66" s="22">
        <f>VLOOKUP(I65,Tarifas!$B$3:$E$16,1)</f>
        <v>5470.93</v>
      </c>
      <c r="J66" s="22">
        <f>VLOOKUP(J65,Tarifas!$B$3:$E$16,1)</f>
        <v>13381.48</v>
      </c>
      <c r="K66" s="22">
        <f>VLOOKUP(K65,Tarifas!$B$3:$E$16,1)</f>
        <v>26988.51</v>
      </c>
      <c r="L66" s="22">
        <f>VLOOKUP(L65,Tarifas!$B$3:$E$16,1)</f>
        <v>11176.63</v>
      </c>
      <c r="M66" s="22">
        <f>VLOOKUP(M65,Tarifas!$B$3:$E$16,1)</f>
        <v>5470.93</v>
      </c>
      <c r="N66" s="22">
        <f>VLOOKUP(N65,Tarifas!$B$3:$E$16,1)</f>
        <v>13381.48</v>
      </c>
      <c r="O66" s="22">
        <f>VLOOKUP(O65,Tarifas!$B$3:$E$16,1)</f>
        <v>42537.59</v>
      </c>
      <c r="P66" s="12"/>
    </row>
    <row r="67" spans="1:17" x14ac:dyDescent="0.2">
      <c r="A67" s="20" t="s">
        <v>37</v>
      </c>
      <c r="B67" s="12" t="s">
        <v>38</v>
      </c>
      <c r="C67" s="12"/>
      <c r="D67" s="16">
        <f>+D65-D66</f>
        <v>823.3700000000008</v>
      </c>
      <c r="E67" s="16">
        <f t="shared" ref="E67:O67" si="31">+E65-E66</f>
        <v>1823.3700000000008</v>
      </c>
      <c r="F67" s="16">
        <f t="shared" si="31"/>
        <v>2029.0699999999997</v>
      </c>
      <c r="G67" s="16">
        <f t="shared" si="31"/>
        <v>3129.0699999999997</v>
      </c>
      <c r="H67" s="16">
        <f t="shared" si="31"/>
        <v>8618.52</v>
      </c>
      <c r="I67" s="16">
        <f t="shared" si="31"/>
        <v>1229.0699999999997</v>
      </c>
      <c r="J67" s="16">
        <f t="shared" si="31"/>
        <v>8618.52</v>
      </c>
      <c r="K67" s="16">
        <f t="shared" si="31"/>
        <v>4011.4900000000016</v>
      </c>
      <c r="L67" s="16">
        <f t="shared" si="31"/>
        <v>1323.3700000000008</v>
      </c>
      <c r="M67" s="16">
        <f t="shared" si="31"/>
        <v>3129.0699999999997</v>
      </c>
      <c r="N67" s="16">
        <f t="shared" si="31"/>
        <v>3718.5200000000004</v>
      </c>
      <c r="O67" s="16">
        <f t="shared" si="31"/>
        <v>2462.4100000000035</v>
      </c>
      <c r="P67" s="12"/>
    </row>
    <row r="68" spans="1:17" x14ac:dyDescent="0.2">
      <c r="A68" s="20" t="s">
        <v>39</v>
      </c>
      <c r="B68" s="12" t="s">
        <v>40</v>
      </c>
      <c r="C68" s="12"/>
      <c r="D68" s="23">
        <f>VLOOKUP(D65,Tarifas!$B$3:$E$16,4)/100</f>
        <v>0.17920000000000003</v>
      </c>
      <c r="E68" s="23">
        <f>VLOOKUP(E65,Tarifas!$B$3:$E$16,4)/100</f>
        <v>0.17920000000000003</v>
      </c>
      <c r="F68" s="23">
        <f>VLOOKUP(F65,Tarifas!$B$3:$E$16,4)/100</f>
        <v>0.10880000000000001</v>
      </c>
      <c r="G68" s="23">
        <f>VLOOKUP(G65,Tarifas!$B$3:$E$16,4)/100</f>
        <v>0.10880000000000001</v>
      </c>
      <c r="H68" s="23">
        <f>VLOOKUP(H65,Tarifas!$B$3:$E$16,4)/100</f>
        <v>0.21359999999999998</v>
      </c>
      <c r="I68" s="23">
        <f>VLOOKUP(I65,Tarifas!$B$3:$E$16,4)/100</f>
        <v>0.10880000000000001</v>
      </c>
      <c r="J68" s="23">
        <f>VLOOKUP(J65,Tarifas!$B$3:$E$16,4)/100</f>
        <v>0.21359999999999998</v>
      </c>
      <c r="K68" s="23">
        <f>VLOOKUP(K65,Tarifas!$B$3:$E$16,4)/100</f>
        <v>0.23519999999999999</v>
      </c>
      <c r="L68" s="23">
        <f>VLOOKUP(L65,Tarifas!$B$3:$E$16,4)/100</f>
        <v>0.17920000000000003</v>
      </c>
      <c r="M68" s="23">
        <f>VLOOKUP(M65,Tarifas!$B$3:$E$16,4)/100</f>
        <v>0.10880000000000001</v>
      </c>
      <c r="N68" s="23">
        <f>VLOOKUP(N65,Tarifas!$B$3:$E$16,4)/100</f>
        <v>0.21359999999999998</v>
      </c>
      <c r="O68" s="23">
        <f>VLOOKUP(O65,Tarifas!$B$3:$E$16,4)/100</f>
        <v>0.3</v>
      </c>
      <c r="P68" s="12"/>
    </row>
    <row r="69" spans="1:17" x14ac:dyDescent="0.2">
      <c r="A69" s="20" t="s">
        <v>37</v>
      </c>
      <c r="B69" s="12" t="s">
        <v>41</v>
      </c>
      <c r="C69" s="12"/>
      <c r="D69" s="16">
        <f>+D67*D68</f>
        <v>147.54790400000016</v>
      </c>
      <c r="E69" s="16">
        <f t="shared" ref="E69:O69" si="32">+E67*E68</f>
        <v>326.74790400000018</v>
      </c>
      <c r="F69" s="16">
        <f t="shared" si="32"/>
        <v>220.76281599999999</v>
      </c>
      <c r="G69" s="16">
        <f t="shared" si="32"/>
        <v>340.44281599999999</v>
      </c>
      <c r="H69" s="16">
        <f t="shared" si="32"/>
        <v>1840.915872</v>
      </c>
      <c r="I69" s="16">
        <f t="shared" si="32"/>
        <v>133.72281599999997</v>
      </c>
      <c r="J69" s="16">
        <f t="shared" si="32"/>
        <v>1840.915872</v>
      </c>
      <c r="K69" s="16">
        <f t="shared" si="32"/>
        <v>943.5024480000003</v>
      </c>
      <c r="L69" s="16">
        <f t="shared" si="32"/>
        <v>237.14790400000018</v>
      </c>
      <c r="M69" s="16">
        <f t="shared" si="32"/>
        <v>340.44281599999999</v>
      </c>
      <c r="N69" s="16">
        <f t="shared" si="32"/>
        <v>794.27587200000005</v>
      </c>
      <c r="O69" s="16">
        <f t="shared" si="32"/>
        <v>738.72300000000098</v>
      </c>
      <c r="P69" s="12"/>
    </row>
    <row r="70" spans="1:17" x14ac:dyDescent="0.2">
      <c r="A70" s="20" t="s">
        <v>42</v>
      </c>
      <c r="B70" s="12" t="s">
        <v>3</v>
      </c>
      <c r="C70" s="12"/>
      <c r="D70" s="22">
        <f>VLOOKUP(D65,Tarifas!$B$3:$E$16,3)</f>
        <v>1022.01</v>
      </c>
      <c r="E70" s="22">
        <f>VLOOKUP(E65,Tarifas!$B$3:$E$16,3)</f>
        <v>1022.01</v>
      </c>
      <c r="F70" s="22">
        <f>VLOOKUP(F65,Tarifas!$B$3:$E$16,3)</f>
        <v>321.26</v>
      </c>
      <c r="G70" s="22">
        <f>VLOOKUP(G65,Tarifas!$B$3:$E$16,3)</f>
        <v>321.26</v>
      </c>
      <c r="H70" s="22">
        <f>VLOOKUP(H65,Tarifas!$B$3:$E$16,3)</f>
        <v>1417.12</v>
      </c>
      <c r="I70" s="22">
        <f>VLOOKUP(I65,Tarifas!$B$3:$E$16,3)</f>
        <v>321.26</v>
      </c>
      <c r="J70" s="22">
        <f>VLOOKUP(J65,Tarifas!$B$3:$E$16,3)</f>
        <v>1417.12</v>
      </c>
      <c r="K70" s="22">
        <f>VLOOKUP(K65,Tarifas!$B$3:$E$16,3)</f>
        <v>4323.58</v>
      </c>
      <c r="L70" s="22">
        <f>VLOOKUP(L65,Tarifas!$B$3:$E$16,3)</f>
        <v>1022.01</v>
      </c>
      <c r="M70" s="22">
        <f>VLOOKUP(M65,Tarifas!$B$3:$E$16,3)</f>
        <v>321.26</v>
      </c>
      <c r="N70" s="22">
        <f>VLOOKUP(N65,Tarifas!$B$3:$E$16,3)</f>
        <v>1417.12</v>
      </c>
      <c r="O70" s="22">
        <f>VLOOKUP(O65,Tarifas!$B$3:$E$16,3)</f>
        <v>7980.73</v>
      </c>
      <c r="P70" s="33"/>
    </row>
    <row r="71" spans="1:17" ht="15" x14ac:dyDescent="0.25">
      <c r="A71" s="26" t="s">
        <v>37</v>
      </c>
      <c r="B71" s="14" t="s">
        <v>45</v>
      </c>
      <c r="C71" s="14"/>
      <c r="D71" s="27">
        <f>+D69+D70</f>
        <v>1169.5579040000002</v>
      </c>
      <c r="E71" s="27">
        <f t="shared" ref="E71:O71" si="33">+E69+E70</f>
        <v>1348.7579040000001</v>
      </c>
      <c r="F71" s="27">
        <f t="shared" si="33"/>
        <v>542.02281599999992</v>
      </c>
      <c r="G71" s="27">
        <f t="shared" si="33"/>
        <v>661.70281599999998</v>
      </c>
      <c r="H71" s="27">
        <f t="shared" si="33"/>
        <v>3258.0358719999999</v>
      </c>
      <c r="I71" s="27">
        <f t="shared" si="33"/>
        <v>454.98281599999996</v>
      </c>
      <c r="J71" s="27">
        <f t="shared" si="33"/>
        <v>3258.0358719999999</v>
      </c>
      <c r="K71" s="27">
        <f t="shared" si="33"/>
        <v>5267.0824480000001</v>
      </c>
      <c r="L71" s="27">
        <f t="shared" si="33"/>
        <v>1259.1579040000001</v>
      </c>
      <c r="M71" s="27">
        <f t="shared" si="33"/>
        <v>661.70281599999998</v>
      </c>
      <c r="N71" s="27">
        <f t="shared" si="33"/>
        <v>2211.3958720000001</v>
      </c>
      <c r="O71" s="27">
        <f t="shared" si="33"/>
        <v>8719.4530000000013</v>
      </c>
      <c r="P71" s="40">
        <f>SUM(D71:O71)</f>
        <v>28811.888040000002</v>
      </c>
    </row>
    <row r="74" spans="1:17" x14ac:dyDescent="0.2">
      <c r="A74" s="91"/>
      <c r="B74" s="91"/>
      <c r="C74" s="91"/>
      <c r="D74" s="91"/>
      <c r="E74" s="91"/>
      <c r="F74" s="91"/>
      <c r="G74" s="91"/>
      <c r="H74" s="91"/>
      <c r="I74" s="91"/>
      <c r="J74" s="91"/>
      <c r="K74" s="91"/>
      <c r="L74" s="91"/>
      <c r="M74" s="91"/>
      <c r="N74" s="91"/>
      <c r="O74" s="91"/>
      <c r="P74" s="91"/>
      <c r="Q74" s="91"/>
    </row>
    <row r="76" spans="1:17" ht="15" x14ac:dyDescent="0.25">
      <c r="B76" s="29" t="s">
        <v>246</v>
      </c>
    </row>
    <row r="77" spans="1:17" ht="15" x14ac:dyDescent="0.25">
      <c r="A77" s="12"/>
      <c r="B77" s="183" t="s">
        <v>66</v>
      </c>
      <c r="C77" s="183"/>
      <c r="D77" s="183"/>
      <c r="E77" s="11" t="s">
        <v>48</v>
      </c>
      <c r="F77" s="12"/>
      <c r="H77" s="42"/>
      <c r="I77" s="11" t="s">
        <v>34</v>
      </c>
      <c r="J77" s="11"/>
      <c r="K77" s="11" t="s">
        <v>48</v>
      </c>
      <c r="L77" s="42"/>
      <c r="M77" s="93"/>
      <c r="N77" s="183" t="s">
        <v>67</v>
      </c>
      <c r="O77" s="183"/>
      <c r="P77" s="183"/>
      <c r="Q77" s="95"/>
    </row>
    <row r="78" spans="1:17" x14ac:dyDescent="0.2">
      <c r="A78" s="12"/>
      <c r="B78" s="12" t="s">
        <v>50</v>
      </c>
      <c r="C78" s="12"/>
      <c r="D78" s="12"/>
      <c r="E78" s="16">
        <f>+G16</f>
        <v>89.62</v>
      </c>
      <c r="F78" s="12"/>
      <c r="H78" s="42"/>
      <c r="I78" s="42" t="s">
        <v>68</v>
      </c>
      <c r="J78" s="42"/>
      <c r="K78" s="18">
        <v>5000</v>
      </c>
      <c r="L78" s="42"/>
      <c r="M78" s="93"/>
      <c r="N78" s="93" t="s">
        <v>68</v>
      </c>
      <c r="O78" s="93"/>
      <c r="P78" s="94">
        <f>+K78</f>
        <v>5000</v>
      </c>
      <c r="Q78" s="95"/>
    </row>
    <row r="79" spans="1:17" x14ac:dyDescent="0.2">
      <c r="A79" s="12"/>
      <c r="B79" s="12" t="s">
        <v>66</v>
      </c>
      <c r="C79" s="12"/>
      <c r="D79" s="12"/>
      <c r="E79" s="16">
        <v>97533.11</v>
      </c>
      <c r="F79" s="12"/>
      <c r="H79" s="111" t="s">
        <v>42</v>
      </c>
      <c r="I79" s="42" t="s">
        <v>1</v>
      </c>
      <c r="J79" s="42"/>
      <c r="K79" s="85">
        <f>VLOOKUP(K78,Tarifas!$B$3:$E$16,1)</f>
        <v>644.59</v>
      </c>
      <c r="L79" s="42"/>
      <c r="M79" s="93"/>
      <c r="N79" s="93" t="s">
        <v>66</v>
      </c>
      <c r="O79" s="93"/>
      <c r="P79" s="94">
        <f>+E79</f>
        <v>97533.11</v>
      </c>
      <c r="Q79" s="95"/>
    </row>
    <row r="80" spans="1:17" x14ac:dyDescent="0.2">
      <c r="A80" s="12"/>
      <c r="B80" s="12" t="s">
        <v>69</v>
      </c>
      <c r="C80" s="12"/>
      <c r="D80" s="12"/>
      <c r="E80" s="16">
        <v>11</v>
      </c>
      <c r="H80" s="111" t="s">
        <v>37</v>
      </c>
      <c r="I80" s="42" t="s">
        <v>38</v>
      </c>
      <c r="J80" s="42"/>
      <c r="K80" s="18">
        <f>+K78-K79</f>
        <v>4355.41</v>
      </c>
      <c r="L80" s="42"/>
      <c r="M80" s="93"/>
      <c r="N80" s="93" t="s">
        <v>69</v>
      </c>
      <c r="O80" s="93"/>
      <c r="P80" s="94">
        <f>+E80</f>
        <v>11</v>
      </c>
      <c r="Q80" s="95"/>
    </row>
    <row r="81" spans="1:17" x14ac:dyDescent="0.2">
      <c r="A81" s="12"/>
      <c r="B81" s="12" t="s">
        <v>70</v>
      </c>
      <c r="C81" s="12"/>
      <c r="D81" s="12"/>
      <c r="E81" s="22">
        <f>ROUND((E78*90)*E80,0)</f>
        <v>88724</v>
      </c>
      <c r="F81" s="28" t="s">
        <v>357</v>
      </c>
      <c r="H81" s="111" t="s">
        <v>39</v>
      </c>
      <c r="I81" s="42" t="s">
        <v>40</v>
      </c>
      <c r="J81" s="42"/>
      <c r="K81" s="112">
        <f>VLOOKUP(K78,Tarifas!$B$3:$E$16,4)/100</f>
        <v>6.4000000000000001E-2</v>
      </c>
      <c r="L81" s="42"/>
      <c r="M81" s="93"/>
      <c r="N81" s="93" t="s">
        <v>70</v>
      </c>
      <c r="O81" s="93"/>
      <c r="P81" s="94">
        <f>ROUND((E78*90)*P80,0)</f>
        <v>88724</v>
      </c>
      <c r="Q81" s="95"/>
    </row>
    <row r="82" spans="1:17" ht="15" x14ac:dyDescent="0.25">
      <c r="A82" s="12"/>
      <c r="B82" s="14" t="s">
        <v>71</v>
      </c>
      <c r="C82" s="14"/>
      <c r="D82" s="14"/>
      <c r="E82" s="27">
        <f>+E79-E81</f>
        <v>8809.11</v>
      </c>
      <c r="F82" s="12"/>
      <c r="H82" s="111" t="s">
        <v>37</v>
      </c>
      <c r="I82" s="42" t="s">
        <v>41</v>
      </c>
      <c r="J82" s="42"/>
      <c r="K82" s="18">
        <f>+K80*K81</f>
        <v>278.74624</v>
      </c>
      <c r="L82" s="42"/>
      <c r="M82" s="93"/>
      <c r="N82" s="93" t="s">
        <v>71</v>
      </c>
      <c r="O82" s="93"/>
      <c r="P82" s="94">
        <f>+P79-P81</f>
        <v>8809.11</v>
      </c>
      <c r="Q82" s="95"/>
    </row>
    <row r="83" spans="1:17" x14ac:dyDescent="0.2">
      <c r="A83" s="12"/>
      <c r="B83" s="12"/>
      <c r="C83" s="12"/>
      <c r="D83" s="12"/>
      <c r="E83" s="16"/>
      <c r="F83" s="12"/>
      <c r="H83" s="111" t="s">
        <v>42</v>
      </c>
      <c r="I83" s="42" t="s">
        <v>3</v>
      </c>
      <c r="J83" s="42"/>
      <c r="K83" s="85">
        <f>VLOOKUP(K78,Tarifas!$B$3:$E$16,3)</f>
        <v>12.38</v>
      </c>
      <c r="L83" s="42"/>
      <c r="M83" s="93"/>
      <c r="N83" s="93"/>
      <c r="O83" s="93"/>
      <c r="P83" s="93"/>
      <c r="Q83" s="95"/>
    </row>
    <row r="84" spans="1:17" ht="15" x14ac:dyDescent="0.25">
      <c r="A84" s="12"/>
      <c r="B84" s="12" t="s">
        <v>72</v>
      </c>
      <c r="C84" s="12"/>
      <c r="D84" s="12"/>
      <c r="E84" s="16">
        <f>+K84</f>
        <v>291.12624</v>
      </c>
      <c r="F84" s="12"/>
      <c r="H84" s="113" t="s">
        <v>37</v>
      </c>
      <c r="I84" s="41" t="s">
        <v>45</v>
      </c>
      <c r="J84" s="41"/>
      <c r="K84" s="40">
        <f>+K82+K83</f>
        <v>291.12624</v>
      </c>
      <c r="L84" s="42"/>
      <c r="M84" s="93"/>
      <c r="N84" s="183" t="s">
        <v>67</v>
      </c>
      <c r="O84" s="183"/>
      <c r="P84" s="183"/>
      <c r="Q84" s="95"/>
    </row>
    <row r="85" spans="1:17" ht="15" x14ac:dyDescent="0.25">
      <c r="A85" s="34" t="s">
        <v>73</v>
      </c>
      <c r="B85" s="12" t="s">
        <v>68</v>
      </c>
      <c r="C85" s="12"/>
      <c r="D85" s="12"/>
      <c r="E85" s="22">
        <f>+K78</f>
        <v>5000</v>
      </c>
      <c r="F85" s="12"/>
      <c r="H85" s="42"/>
      <c r="I85" s="42"/>
      <c r="J85" s="42"/>
      <c r="K85" s="42"/>
      <c r="L85" s="42"/>
      <c r="M85" s="93"/>
      <c r="N85" s="93" t="s">
        <v>71</v>
      </c>
      <c r="O85" s="93"/>
      <c r="P85" s="94">
        <f>+P82</f>
        <v>8809.11</v>
      </c>
      <c r="Q85" s="95"/>
    </row>
    <row r="86" spans="1:17" ht="15" x14ac:dyDescent="0.25">
      <c r="A86" s="34" t="s">
        <v>37</v>
      </c>
      <c r="B86" s="12" t="s">
        <v>74</v>
      </c>
      <c r="C86" s="12"/>
      <c r="D86" s="12"/>
      <c r="E86" s="35">
        <f>TRUNC(E84/E85, 4)</f>
        <v>5.8200000000000002E-2</v>
      </c>
      <c r="F86" s="12"/>
      <c r="H86" s="12"/>
      <c r="I86" s="12"/>
      <c r="J86" s="12"/>
      <c r="K86" s="12"/>
      <c r="L86" s="12"/>
      <c r="M86" s="96" t="s">
        <v>36</v>
      </c>
      <c r="N86" s="105" t="s">
        <v>68</v>
      </c>
      <c r="O86" s="105"/>
      <c r="P86" s="97">
        <f>+P78</f>
        <v>5000</v>
      </c>
      <c r="Q86" s="95"/>
    </row>
    <row r="87" spans="1:17" ht="15" x14ac:dyDescent="0.25">
      <c r="A87" s="34" t="s">
        <v>39</v>
      </c>
      <c r="B87" s="12" t="s">
        <v>75</v>
      </c>
      <c r="C87" s="12"/>
      <c r="D87" s="12"/>
      <c r="E87" s="16">
        <v>100</v>
      </c>
      <c r="F87" s="12"/>
      <c r="H87" s="12"/>
      <c r="I87" s="12"/>
      <c r="J87" s="12"/>
      <c r="K87" s="12"/>
      <c r="L87" s="12"/>
      <c r="M87" s="104" t="s">
        <v>37</v>
      </c>
      <c r="N87" s="99" t="s">
        <v>76</v>
      </c>
      <c r="O87" s="99"/>
      <c r="P87" s="100">
        <f>+P85-P86</f>
        <v>3809.1100000000006</v>
      </c>
      <c r="Q87" s="95"/>
    </row>
    <row r="88" spans="1:17" ht="15" x14ac:dyDescent="0.25">
      <c r="A88" s="34" t="s">
        <v>37</v>
      </c>
      <c r="B88" s="12" t="s">
        <v>77</v>
      </c>
      <c r="C88" s="12"/>
      <c r="D88" s="12"/>
      <c r="E88" s="37">
        <f>+E86*E87/100</f>
        <v>5.8200000000000002E-2</v>
      </c>
      <c r="F88" s="12"/>
      <c r="H88" s="12"/>
      <c r="I88" s="12"/>
      <c r="J88" s="12"/>
      <c r="K88" s="12"/>
      <c r="L88" s="12"/>
      <c r="M88" s="93"/>
      <c r="N88" s="93"/>
      <c r="O88" s="93"/>
      <c r="P88" s="93"/>
      <c r="Q88" s="95"/>
    </row>
    <row r="89" spans="1:17" ht="15" x14ac:dyDescent="0.25">
      <c r="A89" s="12"/>
      <c r="B89" s="12"/>
      <c r="C89" s="12"/>
      <c r="D89" s="12"/>
      <c r="E89" s="12"/>
      <c r="F89" s="12"/>
      <c r="H89" s="20"/>
      <c r="I89" s="12"/>
      <c r="J89" s="12"/>
      <c r="K89" s="12"/>
      <c r="L89" s="12"/>
      <c r="M89" s="93"/>
      <c r="N89" s="41" t="s">
        <v>78</v>
      </c>
      <c r="O89" s="41"/>
      <c r="P89" s="40">
        <f>+P86</f>
        <v>5000</v>
      </c>
      <c r="Q89" s="95"/>
    </row>
    <row r="90" spans="1:17" ht="15" x14ac:dyDescent="0.25">
      <c r="A90" s="12"/>
      <c r="B90" s="12" t="s">
        <v>79</v>
      </c>
      <c r="C90" s="12"/>
      <c r="D90" s="12"/>
      <c r="E90" s="16">
        <f>+E82</f>
        <v>8809.11</v>
      </c>
      <c r="F90" s="12"/>
      <c r="H90" s="26"/>
      <c r="I90" s="12"/>
      <c r="J90" s="12"/>
      <c r="K90" s="12"/>
      <c r="L90" s="12"/>
      <c r="M90" s="93"/>
      <c r="N90" s="41" t="s">
        <v>76</v>
      </c>
      <c r="O90" s="41"/>
      <c r="P90" s="40">
        <f>+P87</f>
        <v>3809.1100000000006</v>
      </c>
      <c r="Q90" s="95"/>
    </row>
    <row r="91" spans="1:17" ht="15" x14ac:dyDescent="0.25">
      <c r="A91" s="34" t="s">
        <v>39</v>
      </c>
      <c r="B91" s="33" t="s">
        <v>77</v>
      </c>
      <c r="C91" s="33"/>
      <c r="D91" s="33"/>
      <c r="E91" s="38">
        <f>+E88</f>
        <v>5.8200000000000002E-2</v>
      </c>
      <c r="F91" s="12"/>
      <c r="G91" s="12"/>
      <c r="H91" s="12"/>
      <c r="I91" s="12"/>
      <c r="J91" s="12"/>
      <c r="K91" s="12"/>
      <c r="L91" s="12"/>
      <c r="M91" s="12"/>
      <c r="N91" s="12"/>
      <c r="O91" s="12"/>
    </row>
    <row r="92" spans="1:17" ht="15" x14ac:dyDescent="0.25">
      <c r="A92" s="36" t="s">
        <v>37</v>
      </c>
      <c r="B92" s="14" t="s">
        <v>80</v>
      </c>
      <c r="C92" s="14"/>
      <c r="D92" s="14"/>
      <c r="E92" s="40">
        <f>+E90*E91</f>
        <v>512.690202</v>
      </c>
      <c r="F92" s="12"/>
      <c r="G92" s="12"/>
      <c r="H92" s="12"/>
      <c r="I92" s="12"/>
      <c r="J92" s="12"/>
      <c r="K92" s="12"/>
      <c r="L92" s="12"/>
      <c r="M92" s="12"/>
      <c r="N92" s="12"/>
      <c r="O92" s="12"/>
    </row>
    <row r="93" spans="1:17" ht="15" x14ac:dyDescent="0.25">
      <c r="A93" s="36"/>
      <c r="B93" s="14"/>
      <c r="C93" s="14"/>
      <c r="D93" s="14"/>
      <c r="E93" s="27"/>
      <c r="F93" s="12"/>
      <c r="G93" s="12"/>
      <c r="H93" s="12"/>
      <c r="I93" s="12"/>
      <c r="J93" s="12"/>
      <c r="K93" s="12"/>
      <c r="L93" s="12"/>
      <c r="M93" s="12"/>
      <c r="N93" s="12"/>
      <c r="O93" s="12"/>
    </row>
    <row r="94" spans="1:17" ht="15" x14ac:dyDescent="0.25">
      <c r="A94" s="106"/>
      <c r="B94" s="107"/>
      <c r="C94" s="107"/>
      <c r="D94" s="107"/>
      <c r="E94" s="108"/>
      <c r="F94" s="109"/>
      <c r="G94" s="109"/>
      <c r="H94" s="109"/>
      <c r="I94" s="109"/>
      <c r="J94" s="109"/>
      <c r="K94" s="109"/>
      <c r="L94" s="109"/>
      <c r="M94" s="109"/>
      <c r="N94" s="109"/>
      <c r="O94" s="109"/>
      <c r="P94" s="91"/>
      <c r="Q94" s="91"/>
    </row>
    <row r="95" spans="1:17" x14ac:dyDescent="0.2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</row>
    <row r="96" spans="1:17" ht="15" x14ac:dyDescent="0.25">
      <c r="B96" s="29" t="s">
        <v>100</v>
      </c>
      <c r="I96" s="29" t="s">
        <v>92</v>
      </c>
    </row>
    <row r="97" spans="1:14" ht="15" x14ac:dyDescent="0.25">
      <c r="A97" s="12"/>
      <c r="B97" s="183" t="s">
        <v>81</v>
      </c>
      <c r="C97" s="183"/>
      <c r="D97" s="183"/>
      <c r="E97" s="11" t="s">
        <v>82</v>
      </c>
      <c r="F97" s="11" t="s">
        <v>83</v>
      </c>
      <c r="H97" s="12"/>
      <c r="I97" s="183" t="s">
        <v>81</v>
      </c>
      <c r="J97" s="183"/>
      <c r="K97" s="183"/>
      <c r="L97" s="11" t="s">
        <v>82</v>
      </c>
      <c r="M97" s="86" t="s">
        <v>235</v>
      </c>
      <c r="N97" s="86" t="s">
        <v>234</v>
      </c>
    </row>
    <row r="98" spans="1:14" x14ac:dyDescent="0.2">
      <c r="A98" s="12"/>
      <c r="B98" s="12" t="s">
        <v>84</v>
      </c>
      <c r="C98" s="12"/>
      <c r="D98" s="12"/>
      <c r="E98" s="16">
        <f>+P26</f>
        <v>93600</v>
      </c>
      <c r="F98" s="16">
        <v>0</v>
      </c>
      <c r="H98" s="12"/>
      <c r="I98" s="12" t="s">
        <v>93</v>
      </c>
      <c r="J98" s="12"/>
      <c r="K98" s="12"/>
      <c r="L98" s="16">
        <v>25000</v>
      </c>
      <c r="M98" s="1">
        <v>0</v>
      </c>
      <c r="N98" s="1">
        <f>+L98</f>
        <v>25000</v>
      </c>
    </row>
    <row r="99" spans="1:14" x14ac:dyDescent="0.2">
      <c r="A99" s="20" t="s">
        <v>42</v>
      </c>
      <c r="B99" s="12" t="s">
        <v>85</v>
      </c>
      <c r="C99" s="12"/>
      <c r="D99" s="12"/>
      <c r="E99" s="16">
        <f>+E41</f>
        <v>8500</v>
      </c>
      <c r="F99" s="16">
        <f>+E43</f>
        <v>1344.3000000000002</v>
      </c>
      <c r="H99" s="20" t="s">
        <v>42</v>
      </c>
      <c r="I99" s="12" t="s">
        <v>94</v>
      </c>
      <c r="J99" s="12"/>
      <c r="K99" s="12"/>
      <c r="L99" s="16">
        <v>0</v>
      </c>
      <c r="M99" s="1">
        <v>32693.4</v>
      </c>
      <c r="N99" s="1">
        <f>+L99</f>
        <v>0</v>
      </c>
    </row>
    <row r="100" spans="1:14" x14ac:dyDescent="0.2">
      <c r="A100" s="20" t="s">
        <v>42</v>
      </c>
      <c r="B100" s="12" t="s">
        <v>86</v>
      </c>
      <c r="C100" s="12"/>
      <c r="D100" s="12"/>
      <c r="E100" s="16">
        <f>+E55</f>
        <v>3900</v>
      </c>
      <c r="F100" s="16">
        <f>+E57</f>
        <v>2688.6000000000004</v>
      </c>
      <c r="H100" s="20" t="s">
        <v>42</v>
      </c>
      <c r="I100" s="12" t="s">
        <v>95</v>
      </c>
      <c r="J100" s="12"/>
      <c r="K100" s="12"/>
      <c r="L100" s="16">
        <v>18000</v>
      </c>
      <c r="M100" s="1">
        <v>0</v>
      </c>
      <c r="N100" s="1">
        <f>+L100</f>
        <v>18000</v>
      </c>
    </row>
    <row r="101" spans="1:14" x14ac:dyDescent="0.2">
      <c r="A101" s="20" t="s">
        <v>42</v>
      </c>
      <c r="B101" s="12" t="s">
        <v>87</v>
      </c>
      <c r="C101" s="12"/>
      <c r="D101" s="12"/>
      <c r="E101" s="16">
        <f>+E48</f>
        <v>390</v>
      </c>
      <c r="F101" s="16">
        <f>+E50</f>
        <v>390</v>
      </c>
      <c r="H101" s="20" t="s">
        <v>42</v>
      </c>
      <c r="I101" s="12" t="s">
        <v>96</v>
      </c>
      <c r="J101" s="12"/>
      <c r="K101" s="12"/>
      <c r="L101" s="16">
        <v>3062</v>
      </c>
      <c r="N101" s="1">
        <f>+L101</f>
        <v>3062</v>
      </c>
    </row>
    <row r="102" spans="1:14" x14ac:dyDescent="0.2">
      <c r="A102" s="20" t="s">
        <v>42</v>
      </c>
      <c r="B102" s="12" t="s">
        <v>65</v>
      </c>
      <c r="C102" s="12"/>
      <c r="D102" s="12"/>
      <c r="E102" s="16">
        <f>+P65</f>
        <v>206000</v>
      </c>
      <c r="F102" s="16">
        <v>0</v>
      </c>
      <c r="H102" s="20" t="s">
        <v>42</v>
      </c>
      <c r="I102" s="12" t="s">
        <v>247</v>
      </c>
      <c r="J102" s="12"/>
      <c r="K102" s="12"/>
      <c r="L102" s="1">
        <v>15000</v>
      </c>
      <c r="M102" s="16">
        <f>+E118*0.1</f>
        <v>31296.71</v>
      </c>
      <c r="N102" s="1">
        <f>+L102</f>
        <v>15000</v>
      </c>
    </row>
    <row r="103" spans="1:14" x14ac:dyDescent="0.2">
      <c r="A103" s="20" t="s">
        <v>42</v>
      </c>
      <c r="B103" s="33" t="s">
        <v>66</v>
      </c>
      <c r="C103" s="33"/>
      <c r="D103" s="33"/>
      <c r="E103" s="22">
        <f>+E79</f>
        <v>97533.11</v>
      </c>
      <c r="F103" s="22">
        <f>+E81</f>
        <v>88724</v>
      </c>
      <c r="H103" s="20" t="s">
        <v>42</v>
      </c>
      <c r="I103" s="33" t="s">
        <v>98</v>
      </c>
      <c r="J103" s="33"/>
      <c r="K103" s="33"/>
      <c r="L103" s="22">
        <v>0</v>
      </c>
      <c r="M103" s="25">
        <v>0</v>
      </c>
      <c r="N103" s="25">
        <v>0</v>
      </c>
    </row>
    <row r="104" spans="1:14" ht="15" x14ac:dyDescent="0.25">
      <c r="A104" s="36" t="s">
        <v>37</v>
      </c>
      <c r="B104" s="14" t="s">
        <v>88</v>
      </c>
      <c r="C104" s="12"/>
      <c r="D104" s="12"/>
      <c r="E104" s="27">
        <f>SUM(E98:E103)</f>
        <v>409923.11</v>
      </c>
      <c r="F104" s="27">
        <f>SUM(F98:F103)</f>
        <v>93146.9</v>
      </c>
      <c r="H104" s="36" t="s">
        <v>37</v>
      </c>
      <c r="I104" s="14" t="s">
        <v>99</v>
      </c>
      <c r="J104" s="12"/>
      <c r="K104" s="12"/>
      <c r="L104" s="27">
        <f>SUM(L98:L103)</f>
        <v>61062</v>
      </c>
      <c r="M104" s="27">
        <f t="shared" ref="M104:N104" si="34">SUM(M98:M103)</f>
        <v>63990.11</v>
      </c>
      <c r="N104" s="40">
        <f t="shared" si="34"/>
        <v>61062</v>
      </c>
    </row>
    <row r="106" spans="1:14" ht="15" x14ac:dyDescent="0.25">
      <c r="B106" s="12" t="s">
        <v>89</v>
      </c>
      <c r="C106" s="12"/>
      <c r="E106" s="1">
        <f>+E104*0.15</f>
        <v>61488.466499999995</v>
      </c>
      <c r="I106" s="29" t="s">
        <v>101</v>
      </c>
    </row>
    <row r="107" spans="1:14" ht="15" x14ac:dyDescent="0.25">
      <c r="B107" s="12" t="s">
        <v>90</v>
      </c>
      <c r="C107" s="12"/>
      <c r="E107" s="1">
        <f>5*G17</f>
        <v>163467</v>
      </c>
      <c r="H107" s="12"/>
      <c r="I107" s="183" t="s">
        <v>81</v>
      </c>
      <c r="J107" s="183"/>
      <c r="K107" s="183"/>
      <c r="L107" s="11" t="s">
        <v>82</v>
      </c>
      <c r="M107" s="86" t="s">
        <v>235</v>
      </c>
      <c r="N107" s="86" t="s">
        <v>234</v>
      </c>
    </row>
    <row r="108" spans="1:14" x14ac:dyDescent="0.2">
      <c r="H108" s="12"/>
      <c r="I108" s="12" t="s">
        <v>102</v>
      </c>
      <c r="J108" s="12"/>
      <c r="K108" s="12"/>
      <c r="L108" s="16">
        <v>0</v>
      </c>
      <c r="M108" s="1">
        <v>152000</v>
      </c>
      <c r="N108" s="1">
        <f>+L108</f>
        <v>0</v>
      </c>
    </row>
    <row r="109" spans="1:14" ht="15" x14ac:dyDescent="0.25">
      <c r="B109" s="15" t="s">
        <v>91</v>
      </c>
      <c r="C109" s="15"/>
      <c r="D109" s="15"/>
      <c r="E109" s="110">
        <f>+E106</f>
        <v>61488.466499999995</v>
      </c>
      <c r="H109" s="20" t="s">
        <v>42</v>
      </c>
      <c r="I109" s="33" t="s">
        <v>248</v>
      </c>
      <c r="J109" s="33"/>
      <c r="K109" s="33"/>
      <c r="L109" s="22">
        <v>38000</v>
      </c>
      <c r="M109" s="25">
        <v>24500</v>
      </c>
      <c r="N109" s="25">
        <f>+M109</f>
        <v>24500</v>
      </c>
    </row>
    <row r="110" spans="1:14" ht="15" x14ac:dyDescent="0.25">
      <c r="H110" s="36" t="s">
        <v>37</v>
      </c>
      <c r="I110" s="14" t="s">
        <v>103</v>
      </c>
      <c r="J110" s="12"/>
      <c r="K110" s="12"/>
      <c r="L110" s="27">
        <f>SUM(L108:L109)</f>
        <v>38000</v>
      </c>
      <c r="M110" s="27">
        <f t="shared" ref="M110:N110" si="35">SUM(M108:M109)</f>
        <v>176500</v>
      </c>
      <c r="N110" s="40">
        <f t="shared" si="35"/>
        <v>24500</v>
      </c>
    </row>
    <row r="112" spans="1:14" ht="15" x14ac:dyDescent="0.25">
      <c r="A112" s="95"/>
      <c r="B112" s="103" t="s">
        <v>250</v>
      </c>
      <c r="C112" s="95"/>
      <c r="D112" s="95"/>
      <c r="E112" s="95"/>
      <c r="F112" s="95"/>
      <c r="I112" s="29" t="s">
        <v>112</v>
      </c>
    </row>
    <row r="113" spans="1:13" ht="15" x14ac:dyDescent="0.25">
      <c r="A113" s="93"/>
      <c r="B113" s="183" t="s">
        <v>81</v>
      </c>
      <c r="C113" s="183"/>
      <c r="D113" s="183"/>
      <c r="E113" s="11" t="s">
        <v>48</v>
      </c>
      <c r="F113" s="95"/>
      <c r="H113" s="12"/>
      <c r="I113" s="183" t="s">
        <v>81</v>
      </c>
      <c r="J113" s="183"/>
      <c r="K113" s="183"/>
      <c r="L113" s="11" t="s">
        <v>82</v>
      </c>
    </row>
    <row r="114" spans="1:13" x14ac:dyDescent="0.2">
      <c r="A114" s="93"/>
      <c r="B114" s="93" t="s">
        <v>88</v>
      </c>
      <c r="C114" s="93"/>
      <c r="D114" s="93"/>
      <c r="E114" s="94">
        <f>+E104</f>
        <v>409923.11</v>
      </c>
      <c r="F114" s="95"/>
      <c r="H114" s="20"/>
      <c r="I114" s="12" t="s">
        <v>113</v>
      </c>
      <c r="J114" s="12"/>
      <c r="K114" s="12"/>
      <c r="L114" s="16">
        <f>+P36</f>
        <v>8206.464688</v>
      </c>
    </row>
    <row r="115" spans="1:13" x14ac:dyDescent="0.2">
      <c r="A115" s="96" t="s">
        <v>36</v>
      </c>
      <c r="B115" s="93" t="s">
        <v>104</v>
      </c>
      <c r="C115" s="93"/>
      <c r="D115" s="93"/>
      <c r="E115" s="97">
        <f>+F104</f>
        <v>93146.9</v>
      </c>
      <c r="F115" s="95"/>
      <c r="H115" s="20" t="s">
        <v>42</v>
      </c>
      <c r="I115" s="12" t="s">
        <v>114</v>
      </c>
      <c r="J115" s="12"/>
      <c r="K115" s="12"/>
      <c r="L115" s="16">
        <f>+P71</f>
        <v>28811.888040000002</v>
      </c>
    </row>
    <row r="116" spans="1:13" x14ac:dyDescent="0.2">
      <c r="A116" s="96" t="s">
        <v>37</v>
      </c>
      <c r="B116" s="93" t="s">
        <v>105</v>
      </c>
      <c r="C116" s="93"/>
      <c r="D116" s="93"/>
      <c r="E116" s="94">
        <f>+E114-E115</f>
        <v>316776.20999999996</v>
      </c>
      <c r="F116" s="95"/>
      <c r="H116" s="20" t="s">
        <v>42</v>
      </c>
      <c r="I116" s="33" t="s">
        <v>115</v>
      </c>
      <c r="J116" s="33"/>
      <c r="K116" s="33"/>
      <c r="L116" s="22">
        <f>+E92</f>
        <v>512.690202</v>
      </c>
    </row>
    <row r="117" spans="1:13" ht="15" x14ac:dyDescent="0.25">
      <c r="A117" s="96" t="s">
        <v>36</v>
      </c>
      <c r="B117" s="93" t="s">
        <v>106</v>
      </c>
      <c r="C117" s="93"/>
      <c r="D117" s="93"/>
      <c r="E117" s="97">
        <f>+L119</f>
        <v>3809.1100000000006</v>
      </c>
      <c r="F117" s="95"/>
      <c r="H117" s="36" t="s">
        <v>37</v>
      </c>
      <c r="I117" s="14" t="s">
        <v>116</v>
      </c>
      <c r="J117" s="14"/>
      <c r="K117" s="14"/>
      <c r="L117" s="40">
        <f>SUM(L114:L116)</f>
        <v>37531.042929999996</v>
      </c>
    </row>
    <row r="118" spans="1:13" x14ac:dyDescent="0.2">
      <c r="A118" s="96" t="s">
        <v>37</v>
      </c>
      <c r="B118" s="93" t="s">
        <v>107</v>
      </c>
      <c r="C118" s="93"/>
      <c r="D118" s="93"/>
      <c r="E118" s="94">
        <f>+E116-E117</f>
        <v>312967.09999999998</v>
      </c>
      <c r="F118" s="95"/>
      <c r="H118" s="20"/>
      <c r="I118" s="12"/>
      <c r="J118" s="12"/>
      <c r="K118" s="12"/>
      <c r="L118" s="16"/>
    </row>
    <row r="119" spans="1:13" ht="15" x14ac:dyDescent="0.25">
      <c r="A119" s="96" t="s">
        <v>36</v>
      </c>
      <c r="B119" s="93" t="s">
        <v>108</v>
      </c>
      <c r="C119" s="93"/>
      <c r="D119" s="93"/>
      <c r="E119" s="97">
        <f>+N104+N110</f>
        <v>85562</v>
      </c>
      <c r="F119" s="95"/>
      <c r="H119" s="20"/>
      <c r="I119" s="15" t="s">
        <v>117</v>
      </c>
      <c r="J119" s="15"/>
      <c r="K119" s="15"/>
      <c r="L119" s="110">
        <f>+P90</f>
        <v>3809.1100000000006</v>
      </c>
    </row>
    <row r="120" spans="1:13" ht="15" x14ac:dyDescent="0.25">
      <c r="A120" s="113" t="s">
        <v>37</v>
      </c>
      <c r="B120" s="41" t="s">
        <v>109</v>
      </c>
      <c r="C120" s="42"/>
      <c r="D120" s="42"/>
      <c r="E120" s="40">
        <f>+E118-E119</f>
        <v>227405.09999999998</v>
      </c>
      <c r="F120" s="95"/>
      <c r="H120" s="36"/>
      <c r="I120" s="15" t="s">
        <v>118</v>
      </c>
      <c r="J120" s="15"/>
      <c r="K120" s="15"/>
      <c r="L120" s="15">
        <f>+P35</f>
        <v>0</v>
      </c>
    </row>
    <row r="121" spans="1:13" x14ac:dyDescent="0.2">
      <c r="A121" s="96" t="s">
        <v>36</v>
      </c>
      <c r="B121" s="93" t="s">
        <v>1</v>
      </c>
      <c r="C121" s="93"/>
      <c r="D121" s="93"/>
      <c r="E121" s="97">
        <f>VLOOKUP(E120,Tarifas!N3:Q16,1)</f>
        <v>160577.66</v>
      </c>
      <c r="F121" s="95"/>
    </row>
    <row r="122" spans="1:13" ht="15" x14ac:dyDescent="0.25">
      <c r="A122" s="96" t="s">
        <v>37</v>
      </c>
      <c r="B122" s="93" t="s">
        <v>38</v>
      </c>
      <c r="C122" s="93"/>
      <c r="D122" s="93"/>
      <c r="E122" s="94">
        <f>+E120-E121</f>
        <v>66827.439999999973</v>
      </c>
      <c r="F122" s="95"/>
      <c r="H122" s="95"/>
      <c r="I122" s="103" t="s">
        <v>249</v>
      </c>
      <c r="J122" s="95"/>
      <c r="K122" s="95"/>
      <c r="L122" s="95"/>
      <c r="M122" s="95"/>
    </row>
    <row r="123" spans="1:13" ht="15" x14ac:dyDescent="0.25">
      <c r="A123" s="96" t="s">
        <v>39</v>
      </c>
      <c r="B123" s="93" t="s">
        <v>40</v>
      </c>
      <c r="C123" s="93"/>
      <c r="D123" s="93"/>
      <c r="E123" s="101">
        <f>VLOOKUP(E120,Tarifas!N3:Q16,4)/100</f>
        <v>0.21359999999999998</v>
      </c>
      <c r="F123" s="95"/>
      <c r="H123" s="95"/>
      <c r="I123" s="183" t="s">
        <v>81</v>
      </c>
      <c r="J123" s="183"/>
      <c r="K123" s="183"/>
      <c r="L123" s="86" t="s">
        <v>48</v>
      </c>
      <c r="M123" s="95"/>
    </row>
    <row r="124" spans="1:13" x14ac:dyDescent="0.2">
      <c r="A124" s="96" t="s">
        <v>37</v>
      </c>
      <c r="B124" s="93" t="s">
        <v>41</v>
      </c>
      <c r="C124" s="93"/>
      <c r="D124" s="93"/>
      <c r="E124" s="94">
        <f>+E122*E123</f>
        <v>14274.341183999994</v>
      </c>
      <c r="F124" s="95"/>
      <c r="H124" s="93"/>
      <c r="I124" s="93" t="s">
        <v>119</v>
      </c>
      <c r="J124" s="93"/>
      <c r="K124" s="93"/>
      <c r="L124" s="18">
        <f>+E126</f>
        <v>31279.811183999995</v>
      </c>
      <c r="M124" s="95"/>
    </row>
    <row r="125" spans="1:13" ht="15" x14ac:dyDescent="0.25">
      <c r="A125" s="96" t="s">
        <v>42</v>
      </c>
      <c r="B125" s="93" t="s">
        <v>3</v>
      </c>
      <c r="C125" s="93"/>
      <c r="D125" s="93"/>
      <c r="E125" s="97">
        <f>VLOOKUP(E120,Tarifas!N3:Q16,3)</f>
        <v>17005.47</v>
      </c>
      <c r="F125" s="95"/>
      <c r="H125" s="114" t="s">
        <v>73</v>
      </c>
      <c r="I125" s="93" t="s">
        <v>120</v>
      </c>
      <c r="J125" s="93"/>
      <c r="K125" s="93"/>
      <c r="L125" s="85">
        <f>+E120</f>
        <v>227405.09999999998</v>
      </c>
      <c r="M125" s="95"/>
    </row>
    <row r="126" spans="1:13" ht="15" x14ac:dyDescent="0.25">
      <c r="A126" s="113" t="s">
        <v>37</v>
      </c>
      <c r="B126" s="41" t="s">
        <v>43</v>
      </c>
      <c r="C126" s="41"/>
      <c r="D126" s="41"/>
      <c r="E126" s="40">
        <f>+E124+E125</f>
        <v>31279.811183999995</v>
      </c>
      <c r="F126" s="95"/>
      <c r="H126" s="114" t="s">
        <v>37</v>
      </c>
      <c r="I126" s="93" t="s">
        <v>74</v>
      </c>
      <c r="J126" s="93"/>
      <c r="K126" s="93"/>
      <c r="L126" s="115">
        <f>TRUNC(L124/L125, 4)</f>
        <v>0.13750000000000001</v>
      </c>
      <c r="M126" s="95"/>
    </row>
    <row r="127" spans="1:13" ht="15.75" thickBot="1" x14ac:dyDescent="0.3">
      <c r="A127" s="96" t="s">
        <v>36</v>
      </c>
      <c r="B127" s="93" t="s">
        <v>110</v>
      </c>
      <c r="C127" s="93"/>
      <c r="D127" s="93"/>
      <c r="E127" s="102">
        <f>+L120</f>
        <v>0</v>
      </c>
      <c r="F127" s="95"/>
      <c r="H127" s="114" t="s">
        <v>39</v>
      </c>
      <c r="I127" s="93" t="s">
        <v>75</v>
      </c>
      <c r="J127" s="93"/>
      <c r="K127" s="93"/>
      <c r="L127" s="94">
        <v>100</v>
      </c>
      <c r="M127" s="95"/>
    </row>
    <row r="128" spans="1:13" ht="15.75" thickBot="1" x14ac:dyDescent="0.3">
      <c r="A128" s="98" t="s">
        <v>37</v>
      </c>
      <c r="B128" s="99" t="s">
        <v>111</v>
      </c>
      <c r="C128" s="93"/>
      <c r="D128" s="93"/>
      <c r="E128" s="43">
        <f>+E126-E127</f>
        <v>31279.811183999995</v>
      </c>
      <c r="F128" s="95"/>
      <c r="H128" s="114" t="s">
        <v>37</v>
      </c>
      <c r="I128" s="93" t="s">
        <v>77</v>
      </c>
      <c r="J128" s="93"/>
      <c r="K128" s="93"/>
      <c r="L128" s="116">
        <f>+L126*L127/100</f>
        <v>0.13750000000000001</v>
      </c>
      <c r="M128" s="95"/>
    </row>
    <row r="129" spans="1:13" x14ac:dyDescent="0.2">
      <c r="H129" s="93"/>
      <c r="I129" s="93"/>
      <c r="J129" s="93"/>
      <c r="K129" s="93"/>
      <c r="L129" s="93"/>
      <c r="M129" s="95"/>
    </row>
    <row r="130" spans="1:13" x14ac:dyDescent="0.2">
      <c r="H130" s="93"/>
      <c r="I130" s="93" t="s">
        <v>121</v>
      </c>
      <c r="J130" s="93"/>
      <c r="K130" s="93"/>
      <c r="L130" s="94">
        <f>+L119</f>
        <v>3809.1100000000006</v>
      </c>
      <c r="M130" s="95"/>
    </row>
    <row r="131" spans="1:13" ht="15.75" thickBot="1" x14ac:dyDescent="0.3">
      <c r="A131" s="95"/>
      <c r="B131" s="103" t="s">
        <v>251</v>
      </c>
      <c r="C131" s="95"/>
      <c r="D131" s="95"/>
      <c r="E131" s="95"/>
      <c r="F131" s="95"/>
      <c r="H131" s="114" t="s">
        <v>39</v>
      </c>
      <c r="I131" s="105" t="s">
        <v>77</v>
      </c>
      <c r="J131" s="105"/>
      <c r="K131" s="105"/>
      <c r="L131" s="117">
        <f>+L128</f>
        <v>0.13750000000000001</v>
      </c>
      <c r="M131" s="95"/>
    </row>
    <row r="132" spans="1:13" ht="15.75" thickBot="1" x14ac:dyDescent="0.3">
      <c r="A132" s="93"/>
      <c r="B132" s="183" t="s">
        <v>81</v>
      </c>
      <c r="C132" s="183"/>
      <c r="D132" s="183"/>
      <c r="E132" s="11" t="s">
        <v>48</v>
      </c>
      <c r="F132" s="95"/>
      <c r="H132" s="104" t="s">
        <v>37</v>
      </c>
      <c r="I132" s="99" t="s">
        <v>122</v>
      </c>
      <c r="J132" s="99"/>
      <c r="K132" s="99"/>
      <c r="L132" s="43">
        <f>+L130*L131</f>
        <v>523.75262500000008</v>
      </c>
      <c r="M132" s="95"/>
    </row>
    <row r="133" spans="1:13" x14ac:dyDescent="0.2">
      <c r="A133" s="93"/>
      <c r="B133" s="93" t="s">
        <v>111</v>
      </c>
      <c r="C133" s="93"/>
      <c r="D133" s="93"/>
      <c r="E133" s="94">
        <f>+E128</f>
        <v>31279.811183999995</v>
      </c>
      <c r="F133" s="95"/>
    </row>
    <row r="134" spans="1:13" x14ac:dyDescent="0.2">
      <c r="A134" s="96" t="s">
        <v>42</v>
      </c>
      <c r="B134" s="93" t="s">
        <v>122</v>
      </c>
      <c r="C134" s="93"/>
      <c r="D134" s="93"/>
      <c r="E134" s="97">
        <f>+L132</f>
        <v>523.75262500000008</v>
      </c>
      <c r="F134" s="95"/>
    </row>
    <row r="135" spans="1:13" ht="15" x14ac:dyDescent="0.25">
      <c r="A135" s="98" t="s">
        <v>37</v>
      </c>
      <c r="B135" s="99" t="s">
        <v>123</v>
      </c>
      <c r="C135" s="99"/>
      <c r="D135" s="99"/>
      <c r="E135" s="100">
        <f>SUM(E133:E134)</f>
        <v>31803.563808999996</v>
      </c>
      <c r="F135" s="95"/>
    </row>
    <row r="136" spans="1:13" ht="15" thickBot="1" x14ac:dyDescent="0.25">
      <c r="A136" s="96" t="s">
        <v>36</v>
      </c>
      <c r="B136" s="93" t="s">
        <v>124</v>
      </c>
      <c r="C136" s="93"/>
      <c r="D136" s="93"/>
      <c r="E136" s="102">
        <f>+L117</f>
        <v>37531.042929999996</v>
      </c>
      <c r="F136" s="95"/>
    </row>
    <row r="137" spans="1:13" ht="15.75" thickBot="1" x14ac:dyDescent="0.3">
      <c r="A137" s="98" t="s">
        <v>37</v>
      </c>
      <c r="B137" s="99" t="s">
        <v>125</v>
      </c>
      <c r="C137" s="93"/>
      <c r="D137" s="93"/>
      <c r="E137" s="119">
        <f>+E135-E136</f>
        <v>-5727.4791210000003</v>
      </c>
      <c r="F137" s="95"/>
    </row>
  </sheetData>
  <mergeCells count="16">
    <mergeCell ref="I107:K107"/>
    <mergeCell ref="B113:D113"/>
    <mergeCell ref="I113:K113"/>
    <mergeCell ref="B132:D132"/>
    <mergeCell ref="I123:K123"/>
    <mergeCell ref="N77:P77"/>
    <mergeCell ref="N84:P84"/>
    <mergeCell ref="B97:D97"/>
    <mergeCell ref="I97:K97"/>
    <mergeCell ref="B77:D77"/>
    <mergeCell ref="B54:D54"/>
    <mergeCell ref="B13:D13"/>
    <mergeCell ref="B20:D20"/>
    <mergeCell ref="B25:C25"/>
    <mergeCell ref="B40:D40"/>
    <mergeCell ref="B47:D47"/>
  </mergeCells>
  <phoneticPr fontId="8" type="noConversion"/>
  <pageMargins left="0.7" right="0.7" top="0.75" bottom="0.75" header="0.3" footer="0.3"/>
  <ignoredErrors>
    <ignoredError sqref="E117 E121 E119" formula="1"/>
  </ignoredErrors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BFCABE-E105-4FF3-A77B-A023AADD3C58}">
  <sheetPr>
    <tabColor rgb="FFC00000"/>
  </sheetPr>
  <dimension ref="A10:Q133"/>
  <sheetViews>
    <sheetView topLeftCell="A97" workbookViewId="0">
      <selection activeCell="M105" sqref="M105"/>
    </sheetView>
  </sheetViews>
  <sheetFormatPr baseColWidth="10" defaultRowHeight="14.25" x14ac:dyDescent="0.2"/>
  <cols>
    <col min="1" max="1" width="3.875" style="1" customWidth="1"/>
    <col min="2" max="4" width="11" style="1"/>
    <col min="5" max="5" width="12.625" style="1" customWidth="1"/>
    <col min="6" max="13" width="11" style="1"/>
    <col min="14" max="14" width="11.5" style="1" customWidth="1"/>
    <col min="15" max="16384" width="11" style="1"/>
  </cols>
  <sheetData>
    <row r="10" spans="2:7" ht="15" x14ac:dyDescent="0.25">
      <c r="B10" s="89" t="s">
        <v>252</v>
      </c>
    </row>
    <row r="12" spans="2:7" ht="15" x14ac:dyDescent="0.25">
      <c r="B12" s="29" t="s">
        <v>61</v>
      </c>
    </row>
    <row r="13" spans="2:7" ht="15" x14ac:dyDescent="0.25">
      <c r="B13" s="183" t="s">
        <v>24</v>
      </c>
      <c r="C13" s="183"/>
      <c r="D13" s="183"/>
      <c r="E13" s="87">
        <v>2019</v>
      </c>
      <c r="F13" s="87">
        <v>2020</v>
      </c>
      <c r="G13" s="87">
        <v>2021</v>
      </c>
    </row>
    <row r="14" spans="2:7" x14ac:dyDescent="0.2">
      <c r="B14" s="12" t="s">
        <v>25</v>
      </c>
      <c r="C14" s="12"/>
      <c r="D14" s="12"/>
      <c r="E14" s="13">
        <v>102.68</v>
      </c>
      <c r="F14" s="13">
        <v>123.22</v>
      </c>
      <c r="G14" s="19">
        <v>141.69999999999999</v>
      </c>
    </row>
    <row r="15" spans="2:7" x14ac:dyDescent="0.2">
      <c r="B15" s="12" t="s">
        <v>26</v>
      </c>
      <c r="C15" s="12"/>
      <c r="D15" s="12"/>
      <c r="E15" s="13">
        <v>176.72</v>
      </c>
      <c r="F15" s="13">
        <v>185.56</v>
      </c>
      <c r="G15" s="19">
        <v>213.39</v>
      </c>
    </row>
    <row r="16" spans="2:7" x14ac:dyDescent="0.2">
      <c r="B16" s="12" t="s">
        <v>28</v>
      </c>
      <c r="C16" s="12"/>
      <c r="D16" s="12"/>
      <c r="E16" s="13">
        <v>84.49</v>
      </c>
      <c r="F16" s="13">
        <v>86.88</v>
      </c>
      <c r="G16" s="19">
        <v>89.62</v>
      </c>
    </row>
    <row r="17" spans="1:16" x14ac:dyDescent="0.2">
      <c r="B17" s="12" t="s">
        <v>29</v>
      </c>
      <c r="C17" s="12"/>
      <c r="D17" s="12"/>
      <c r="E17" s="16">
        <v>30822</v>
      </c>
      <c r="F17" s="16">
        <v>31693.8</v>
      </c>
      <c r="G17" s="19">
        <v>32693.4</v>
      </c>
    </row>
    <row r="20" spans="1:16" ht="15" x14ac:dyDescent="0.25">
      <c r="B20" s="183" t="s">
        <v>34</v>
      </c>
      <c r="C20" s="183"/>
      <c r="D20" s="183" t="s">
        <v>31</v>
      </c>
      <c r="E20" s="87" t="s">
        <v>33</v>
      </c>
      <c r="F20" s="87" t="s">
        <v>32</v>
      </c>
      <c r="G20" s="87" t="s">
        <v>31</v>
      </c>
    </row>
    <row r="21" spans="1:16" x14ac:dyDescent="0.2">
      <c r="B21" s="1" t="s">
        <v>30</v>
      </c>
      <c r="E21" s="1">
        <v>8000</v>
      </c>
      <c r="F21" s="1">
        <v>8000</v>
      </c>
      <c r="G21" s="19">
        <v>8000</v>
      </c>
    </row>
    <row r="22" spans="1:16" x14ac:dyDescent="0.2">
      <c r="B22" s="1" t="s">
        <v>27</v>
      </c>
      <c r="E22" s="1">
        <f>+E21/30</f>
        <v>266.66666666666669</v>
      </c>
      <c r="F22" s="1">
        <f>+F21/30</f>
        <v>266.66666666666669</v>
      </c>
      <c r="G22" s="19">
        <f>+G21/30.4</f>
        <v>263.15789473684214</v>
      </c>
    </row>
    <row r="24" spans="1:16" ht="15" x14ac:dyDescent="0.25">
      <c r="B24" s="29" t="s">
        <v>62</v>
      </c>
    </row>
    <row r="25" spans="1:16" ht="15" x14ac:dyDescent="0.25">
      <c r="B25" s="184" t="s">
        <v>34</v>
      </c>
      <c r="C25" s="184"/>
      <c r="D25" s="21" t="s">
        <v>12</v>
      </c>
      <c r="E25" s="21" t="s">
        <v>16</v>
      </c>
      <c r="F25" s="21" t="s">
        <v>20</v>
      </c>
      <c r="G25" s="21" t="s">
        <v>13</v>
      </c>
      <c r="H25" s="21" t="s">
        <v>17</v>
      </c>
      <c r="I25" s="21" t="s">
        <v>21</v>
      </c>
      <c r="J25" s="21" t="s">
        <v>14</v>
      </c>
      <c r="K25" s="21" t="s">
        <v>18</v>
      </c>
      <c r="L25" s="21" t="s">
        <v>22</v>
      </c>
      <c r="M25" s="21" t="s">
        <v>15</v>
      </c>
      <c r="N25" s="21" t="s">
        <v>19</v>
      </c>
      <c r="O25" s="21" t="s">
        <v>23</v>
      </c>
      <c r="P25" s="87" t="s">
        <v>64</v>
      </c>
    </row>
    <row r="26" spans="1:16" ht="15" x14ac:dyDescent="0.25">
      <c r="A26" s="12"/>
      <c r="B26" s="12" t="s">
        <v>30</v>
      </c>
      <c r="C26" s="12"/>
      <c r="D26" s="1">
        <f>+$G$21</f>
        <v>8000</v>
      </c>
      <c r="E26" s="1">
        <f t="shared" ref="E26:O26" si="0">+$G$21</f>
        <v>8000</v>
      </c>
      <c r="F26" s="1">
        <f t="shared" si="0"/>
        <v>8000</v>
      </c>
      <c r="G26" s="1">
        <f t="shared" si="0"/>
        <v>8000</v>
      </c>
      <c r="H26" s="1">
        <f t="shared" si="0"/>
        <v>8000</v>
      </c>
      <c r="I26" s="1">
        <f t="shared" si="0"/>
        <v>8000</v>
      </c>
      <c r="J26" s="1">
        <f t="shared" si="0"/>
        <v>8000</v>
      </c>
      <c r="K26" s="1">
        <f t="shared" si="0"/>
        <v>8000</v>
      </c>
      <c r="L26" s="1">
        <f t="shared" si="0"/>
        <v>8000</v>
      </c>
      <c r="M26" s="1">
        <f t="shared" si="0"/>
        <v>8000</v>
      </c>
      <c r="N26" s="1">
        <f t="shared" si="0"/>
        <v>8000</v>
      </c>
      <c r="O26" s="1">
        <f t="shared" si="0"/>
        <v>8000</v>
      </c>
      <c r="P26" s="15">
        <f>SUM(D26:O26)</f>
        <v>96000</v>
      </c>
    </row>
    <row r="27" spans="1:16" x14ac:dyDescent="0.2">
      <c r="A27" s="20" t="s">
        <v>42</v>
      </c>
      <c r="B27" s="12" t="s">
        <v>46</v>
      </c>
      <c r="C27" s="12"/>
      <c r="D27" s="25">
        <v>0</v>
      </c>
      <c r="E27" s="25">
        <v>0</v>
      </c>
      <c r="F27" s="25">
        <v>0</v>
      </c>
      <c r="G27" s="25">
        <v>0</v>
      </c>
      <c r="H27" s="25">
        <v>0</v>
      </c>
      <c r="I27" s="25">
        <v>0</v>
      </c>
      <c r="J27" s="25">
        <v>0</v>
      </c>
      <c r="K27" s="25">
        <v>0</v>
      </c>
      <c r="L27" s="25">
        <v>0</v>
      </c>
      <c r="M27" s="25">
        <v>0</v>
      </c>
      <c r="N27" s="25">
        <v>0</v>
      </c>
      <c r="O27" s="39">
        <f>+E53</f>
        <v>1311.4</v>
      </c>
      <c r="P27" s="32"/>
    </row>
    <row r="28" spans="1:16" ht="15" x14ac:dyDescent="0.25">
      <c r="A28" s="26" t="s">
        <v>37</v>
      </c>
      <c r="B28" s="14" t="s">
        <v>35</v>
      </c>
      <c r="C28" s="14"/>
      <c r="D28" s="15">
        <f>+D26+D27</f>
        <v>8000</v>
      </c>
      <c r="E28" s="15">
        <f>+E26+E27</f>
        <v>8000</v>
      </c>
      <c r="F28" s="15">
        <f t="shared" ref="F28:O28" si="1">+F26+F27</f>
        <v>8000</v>
      </c>
      <c r="G28" s="15">
        <f t="shared" si="1"/>
        <v>8000</v>
      </c>
      <c r="H28" s="15">
        <f t="shared" si="1"/>
        <v>8000</v>
      </c>
      <c r="I28" s="15">
        <f t="shared" si="1"/>
        <v>8000</v>
      </c>
      <c r="J28" s="15">
        <f t="shared" si="1"/>
        <v>8000</v>
      </c>
      <c r="K28" s="15">
        <f t="shared" si="1"/>
        <v>8000</v>
      </c>
      <c r="L28" s="15">
        <f t="shared" si="1"/>
        <v>8000</v>
      </c>
      <c r="M28" s="15">
        <f t="shared" si="1"/>
        <v>8000</v>
      </c>
      <c r="N28" s="15">
        <f t="shared" si="1"/>
        <v>8000</v>
      </c>
      <c r="O28" s="15">
        <f t="shared" si="1"/>
        <v>9311.4</v>
      </c>
    </row>
    <row r="29" spans="1:16" x14ac:dyDescent="0.2">
      <c r="A29" s="20" t="s">
        <v>36</v>
      </c>
      <c r="B29" s="12" t="s">
        <v>1</v>
      </c>
      <c r="C29" s="12"/>
      <c r="D29" s="22">
        <f>VLOOKUP(D28,Tarifas!$B$3:$E$16,1)</f>
        <v>5470.93</v>
      </c>
      <c r="E29" s="22">
        <f>VLOOKUP(E28,Tarifas!$B$3:$E$16,1)</f>
        <v>5470.93</v>
      </c>
      <c r="F29" s="22">
        <f>VLOOKUP(F28,Tarifas!$B$3:$E$16,1)</f>
        <v>5470.93</v>
      </c>
      <c r="G29" s="22">
        <f>VLOOKUP(G28,Tarifas!$B$3:$E$16,1)</f>
        <v>5470.93</v>
      </c>
      <c r="H29" s="22">
        <f>VLOOKUP(H28,Tarifas!$B$3:$E$16,1)</f>
        <v>5470.93</v>
      </c>
      <c r="I29" s="22">
        <f>VLOOKUP(I28,Tarifas!$B$3:$E$16,1)</f>
        <v>5470.93</v>
      </c>
      <c r="J29" s="22">
        <f>VLOOKUP(J28,Tarifas!$B$3:$E$16,1)</f>
        <v>5470.93</v>
      </c>
      <c r="K29" s="22">
        <f>VLOOKUP(K28,Tarifas!$B$3:$E$16,1)</f>
        <v>5470.93</v>
      </c>
      <c r="L29" s="22">
        <f>VLOOKUP(L28,Tarifas!$B$3:$E$16,1)</f>
        <v>5470.93</v>
      </c>
      <c r="M29" s="22">
        <f>VLOOKUP(M28,Tarifas!$B$3:$E$16,1)</f>
        <v>5470.93</v>
      </c>
      <c r="N29" s="22">
        <f>VLOOKUP(N28,Tarifas!$B$3:$E$16,1)</f>
        <v>5470.93</v>
      </c>
      <c r="O29" s="22">
        <f>VLOOKUP(O28,Tarifas!$B$3:$E$16,1)</f>
        <v>5470.93</v>
      </c>
    </row>
    <row r="30" spans="1:16" x14ac:dyDescent="0.2">
      <c r="A30" s="20" t="s">
        <v>37</v>
      </c>
      <c r="B30" s="12" t="s">
        <v>38</v>
      </c>
      <c r="C30" s="12"/>
      <c r="D30" s="16">
        <f>+D28-D29</f>
        <v>2529.0699999999997</v>
      </c>
      <c r="E30" s="16">
        <f t="shared" ref="E30:O30" si="2">+E28-E29</f>
        <v>2529.0699999999997</v>
      </c>
      <c r="F30" s="16">
        <f t="shared" si="2"/>
        <v>2529.0699999999997</v>
      </c>
      <c r="G30" s="16">
        <f t="shared" si="2"/>
        <v>2529.0699999999997</v>
      </c>
      <c r="H30" s="16">
        <f t="shared" si="2"/>
        <v>2529.0699999999997</v>
      </c>
      <c r="I30" s="16">
        <f t="shared" si="2"/>
        <v>2529.0699999999997</v>
      </c>
      <c r="J30" s="16">
        <f t="shared" si="2"/>
        <v>2529.0699999999997</v>
      </c>
      <c r="K30" s="16">
        <f t="shared" si="2"/>
        <v>2529.0699999999997</v>
      </c>
      <c r="L30" s="16">
        <f t="shared" si="2"/>
        <v>2529.0699999999997</v>
      </c>
      <c r="M30" s="16">
        <f t="shared" si="2"/>
        <v>2529.0699999999997</v>
      </c>
      <c r="N30" s="16">
        <f t="shared" si="2"/>
        <v>2529.0699999999997</v>
      </c>
      <c r="O30" s="16">
        <f t="shared" si="2"/>
        <v>3840.4699999999993</v>
      </c>
    </row>
    <row r="31" spans="1:16" x14ac:dyDescent="0.2">
      <c r="A31" s="20" t="s">
        <v>39</v>
      </c>
      <c r="B31" s="12" t="s">
        <v>40</v>
      </c>
      <c r="C31" s="12"/>
      <c r="D31" s="23">
        <f>VLOOKUP(D28,Tarifas!$B$3:$E$16,4)/100</f>
        <v>0.10880000000000001</v>
      </c>
      <c r="E31" s="23">
        <f>VLOOKUP(E28,Tarifas!$B$3:$E$16,4)/100</f>
        <v>0.10880000000000001</v>
      </c>
      <c r="F31" s="23">
        <f>VLOOKUP(F28,Tarifas!$B$3:$E$16,4)/100</f>
        <v>0.10880000000000001</v>
      </c>
      <c r="G31" s="23">
        <f>VLOOKUP(G28,Tarifas!$B$3:$E$16,4)/100</f>
        <v>0.10880000000000001</v>
      </c>
      <c r="H31" s="23">
        <f>VLOOKUP(H28,Tarifas!$B$3:$E$16,4)/100</f>
        <v>0.10880000000000001</v>
      </c>
      <c r="I31" s="23">
        <f>VLOOKUP(I28,Tarifas!$B$3:$E$16,4)/100</f>
        <v>0.10880000000000001</v>
      </c>
      <c r="J31" s="23">
        <f>VLOOKUP(J28,Tarifas!$B$3:$E$16,4)/100</f>
        <v>0.10880000000000001</v>
      </c>
      <c r="K31" s="23">
        <f>VLOOKUP(K28,Tarifas!$B$3:$E$16,4)/100</f>
        <v>0.10880000000000001</v>
      </c>
      <c r="L31" s="23">
        <f>VLOOKUP(L28,Tarifas!$B$3:$E$16,4)/100</f>
        <v>0.10880000000000001</v>
      </c>
      <c r="M31" s="23">
        <f>VLOOKUP(M28,Tarifas!$B$3:$E$16,4)/100</f>
        <v>0.10880000000000001</v>
      </c>
      <c r="N31" s="23">
        <f>VLOOKUP(N28,Tarifas!$B$3:$E$16,4)/100</f>
        <v>0.10880000000000001</v>
      </c>
      <c r="O31" s="23">
        <f>VLOOKUP(O28,Tarifas!$B$3:$E$16,4)/100</f>
        <v>0.10880000000000001</v>
      </c>
    </row>
    <row r="32" spans="1:16" x14ac:dyDescent="0.2">
      <c r="A32" s="20" t="s">
        <v>37</v>
      </c>
      <c r="B32" s="12" t="s">
        <v>41</v>
      </c>
      <c r="C32" s="12"/>
      <c r="D32" s="16">
        <f>+D30*D31</f>
        <v>275.16281599999996</v>
      </c>
      <c r="E32" s="16">
        <f t="shared" ref="E32:O32" si="3">+E30*E31</f>
        <v>275.16281599999996</v>
      </c>
      <c r="F32" s="16">
        <f t="shared" si="3"/>
        <v>275.16281599999996</v>
      </c>
      <c r="G32" s="16">
        <f t="shared" si="3"/>
        <v>275.16281599999996</v>
      </c>
      <c r="H32" s="16">
        <f t="shared" si="3"/>
        <v>275.16281599999996</v>
      </c>
      <c r="I32" s="16">
        <f t="shared" si="3"/>
        <v>275.16281599999996</v>
      </c>
      <c r="J32" s="16">
        <f t="shared" si="3"/>
        <v>275.16281599999996</v>
      </c>
      <c r="K32" s="16">
        <f t="shared" si="3"/>
        <v>275.16281599999996</v>
      </c>
      <c r="L32" s="16">
        <f t="shared" si="3"/>
        <v>275.16281599999996</v>
      </c>
      <c r="M32" s="16">
        <f t="shared" si="3"/>
        <v>275.16281599999996</v>
      </c>
      <c r="N32" s="16">
        <f t="shared" si="3"/>
        <v>275.16281599999996</v>
      </c>
      <c r="O32" s="16">
        <f t="shared" si="3"/>
        <v>417.84313599999996</v>
      </c>
    </row>
    <row r="33" spans="1:16" x14ac:dyDescent="0.2">
      <c r="A33" s="20" t="s">
        <v>42</v>
      </c>
      <c r="B33" s="12" t="s">
        <v>3</v>
      </c>
      <c r="C33" s="12"/>
      <c r="D33" s="22">
        <f>VLOOKUP(D28,Tarifas!$B$3:$E$16,3)</f>
        <v>321.26</v>
      </c>
      <c r="E33" s="22">
        <f>VLOOKUP(E28,Tarifas!$B$3:$E$16,3)</f>
        <v>321.26</v>
      </c>
      <c r="F33" s="22">
        <f>VLOOKUP(F28,Tarifas!$B$3:$E$16,3)</f>
        <v>321.26</v>
      </c>
      <c r="G33" s="22">
        <f>VLOOKUP(G28,Tarifas!$B$3:$E$16,3)</f>
        <v>321.26</v>
      </c>
      <c r="H33" s="22">
        <f>VLOOKUP(H28,Tarifas!$B$3:$E$16,3)</f>
        <v>321.26</v>
      </c>
      <c r="I33" s="22">
        <f>VLOOKUP(I28,Tarifas!$B$3:$E$16,3)</f>
        <v>321.26</v>
      </c>
      <c r="J33" s="22">
        <f>VLOOKUP(J28,Tarifas!$B$3:$E$16,3)</f>
        <v>321.26</v>
      </c>
      <c r="K33" s="22">
        <f>VLOOKUP(K28,Tarifas!$B$3:$E$16,3)</f>
        <v>321.26</v>
      </c>
      <c r="L33" s="22">
        <f>VLOOKUP(L28,Tarifas!$B$3:$E$16,3)</f>
        <v>321.26</v>
      </c>
      <c r="M33" s="22">
        <f>VLOOKUP(M28,Tarifas!$B$3:$E$16,3)</f>
        <v>321.26</v>
      </c>
      <c r="N33" s="22">
        <f>VLOOKUP(N28,Tarifas!$B$3:$E$16,3)</f>
        <v>321.26</v>
      </c>
      <c r="O33" s="22">
        <f>VLOOKUP(O28,Tarifas!$B$3:$E$16,3)</f>
        <v>321.26</v>
      </c>
    </row>
    <row r="34" spans="1:16" ht="15" x14ac:dyDescent="0.25">
      <c r="A34" s="26" t="s">
        <v>37</v>
      </c>
      <c r="B34" s="14" t="s">
        <v>43</v>
      </c>
      <c r="C34" s="14"/>
      <c r="D34" s="27">
        <f>+D32+D33</f>
        <v>596.42281600000001</v>
      </c>
      <c r="E34" s="27">
        <f t="shared" ref="E34:O34" si="4">+E32+E33</f>
        <v>596.42281600000001</v>
      </c>
      <c r="F34" s="27">
        <f t="shared" si="4"/>
        <v>596.42281600000001</v>
      </c>
      <c r="G34" s="27">
        <f t="shared" si="4"/>
        <v>596.42281600000001</v>
      </c>
      <c r="H34" s="27">
        <f t="shared" si="4"/>
        <v>596.42281600000001</v>
      </c>
      <c r="I34" s="27">
        <f t="shared" si="4"/>
        <v>596.42281600000001</v>
      </c>
      <c r="J34" s="27">
        <f t="shared" si="4"/>
        <v>596.42281600000001</v>
      </c>
      <c r="K34" s="27">
        <f t="shared" si="4"/>
        <v>596.42281600000001</v>
      </c>
      <c r="L34" s="27">
        <f t="shared" si="4"/>
        <v>596.42281600000001</v>
      </c>
      <c r="M34" s="27">
        <f t="shared" si="4"/>
        <v>596.42281600000001</v>
      </c>
      <c r="N34" s="27">
        <f t="shared" si="4"/>
        <v>596.42281600000001</v>
      </c>
      <c r="O34" s="27">
        <f t="shared" si="4"/>
        <v>739.10313599999995</v>
      </c>
    </row>
    <row r="35" spans="1:16" ht="15" x14ac:dyDescent="0.25">
      <c r="A35" s="20" t="s">
        <v>36</v>
      </c>
      <c r="B35" s="12" t="s">
        <v>44</v>
      </c>
      <c r="C35" s="12"/>
      <c r="D35" s="22">
        <f>VLOOKUP(D28,Tarifas!$B$20:$D$33,3)</f>
        <v>0</v>
      </c>
      <c r="E35" s="22">
        <f>VLOOKUP(E28,Tarifas!$B$20:$D$33,3)</f>
        <v>0</v>
      </c>
      <c r="F35" s="22">
        <f>VLOOKUP(F28,Tarifas!$B$20:$D$33,3)</f>
        <v>0</v>
      </c>
      <c r="G35" s="22">
        <f>VLOOKUP(G28,Tarifas!$B$20:$D$33,3)</f>
        <v>0</v>
      </c>
      <c r="H35" s="22">
        <f>VLOOKUP(H28,Tarifas!$B$20:$D$33,3)</f>
        <v>0</v>
      </c>
      <c r="I35" s="22">
        <f>VLOOKUP(I28,Tarifas!$B$20:$D$33,3)</f>
        <v>0</v>
      </c>
      <c r="J35" s="22">
        <f>VLOOKUP(J28,Tarifas!$B$20:$D$33,3)</f>
        <v>0</v>
      </c>
      <c r="K35" s="22">
        <f>VLOOKUP(K28,Tarifas!$B$20:$D$33,3)</f>
        <v>0</v>
      </c>
      <c r="L35" s="22">
        <f>VLOOKUP(L28,Tarifas!$B$20:$D$33,3)</f>
        <v>0</v>
      </c>
      <c r="M35" s="22">
        <f>VLOOKUP(M28,Tarifas!$B$20:$D$33,3)</f>
        <v>0</v>
      </c>
      <c r="N35" s="22">
        <f>VLOOKUP(N28,Tarifas!$B$20:$D$33,3)</f>
        <v>0</v>
      </c>
      <c r="O35" s="22">
        <f>VLOOKUP(O28,Tarifas!$B$20:$D$33,3)</f>
        <v>0</v>
      </c>
      <c r="P35" s="31">
        <f>SUM(D35:O35)</f>
        <v>0</v>
      </c>
    </row>
    <row r="36" spans="1:16" ht="15" x14ac:dyDescent="0.25">
      <c r="A36" s="20" t="s">
        <v>37</v>
      </c>
      <c r="B36" s="12" t="s">
        <v>45</v>
      </c>
      <c r="C36" s="12"/>
      <c r="D36" s="24">
        <f>+D34-D35</f>
        <v>596.42281600000001</v>
      </c>
      <c r="E36" s="24">
        <f t="shared" ref="E36:O36" si="5">+E34-E35</f>
        <v>596.42281600000001</v>
      </c>
      <c r="F36" s="24">
        <f t="shared" si="5"/>
        <v>596.42281600000001</v>
      </c>
      <c r="G36" s="24">
        <f t="shared" si="5"/>
        <v>596.42281600000001</v>
      </c>
      <c r="H36" s="24">
        <f t="shared" si="5"/>
        <v>596.42281600000001</v>
      </c>
      <c r="I36" s="24">
        <f t="shared" si="5"/>
        <v>596.42281600000001</v>
      </c>
      <c r="J36" s="24">
        <f t="shared" si="5"/>
        <v>596.42281600000001</v>
      </c>
      <c r="K36" s="24">
        <f t="shared" si="5"/>
        <v>596.42281600000001</v>
      </c>
      <c r="L36" s="24">
        <f t="shared" si="5"/>
        <v>596.42281600000001</v>
      </c>
      <c r="M36" s="24">
        <f t="shared" si="5"/>
        <v>596.42281600000001</v>
      </c>
      <c r="N36" s="24">
        <f t="shared" si="5"/>
        <v>596.42281600000001</v>
      </c>
      <c r="O36" s="24">
        <f t="shared" si="5"/>
        <v>739.10313599999995</v>
      </c>
      <c r="P36" s="110">
        <f>SUM(D36:O36)</f>
        <v>7299.7541120000014</v>
      </c>
    </row>
    <row r="39" spans="1:16" ht="15" x14ac:dyDescent="0.25">
      <c r="B39" s="29" t="s">
        <v>63</v>
      </c>
    </row>
    <row r="40" spans="1:16" ht="15" x14ac:dyDescent="0.25">
      <c r="B40" s="14"/>
      <c r="C40" s="14"/>
      <c r="D40" s="14"/>
      <c r="E40" s="27"/>
    </row>
    <row r="42" spans="1:16" ht="15" x14ac:dyDescent="0.25">
      <c r="B42" s="183" t="s">
        <v>53</v>
      </c>
      <c r="C42" s="183"/>
      <c r="D42" s="183"/>
      <c r="E42" s="87" t="s">
        <v>48</v>
      </c>
    </row>
    <row r="43" spans="1:16" x14ac:dyDescent="0.2">
      <c r="B43" s="12" t="s">
        <v>54</v>
      </c>
      <c r="C43" s="12"/>
      <c r="D43" s="12"/>
      <c r="E43" s="16">
        <f>E22*(6*0.25)</f>
        <v>400</v>
      </c>
      <c r="F43" s="28" t="s">
        <v>253</v>
      </c>
    </row>
    <row r="44" spans="1:16" x14ac:dyDescent="0.2">
      <c r="B44" s="12" t="s">
        <v>50</v>
      </c>
      <c r="C44" s="12"/>
      <c r="D44" s="12"/>
      <c r="E44" s="16">
        <f>+G16</f>
        <v>89.62</v>
      </c>
    </row>
    <row r="45" spans="1:16" ht="15" x14ac:dyDescent="0.25">
      <c r="B45" s="12" t="s">
        <v>55</v>
      </c>
      <c r="C45" s="12"/>
      <c r="D45" s="12"/>
      <c r="E45" s="22">
        <f>IF(E43&gt;(E44*30),E44*15,E43)</f>
        <v>400</v>
      </c>
      <c r="F45" s="28" t="s">
        <v>347</v>
      </c>
      <c r="G45" s="28"/>
      <c r="H45" s="89" t="s">
        <v>229</v>
      </c>
    </row>
    <row r="46" spans="1:16" ht="15" x14ac:dyDescent="0.25">
      <c r="B46" s="14" t="s">
        <v>56</v>
      </c>
      <c r="C46" s="14"/>
      <c r="D46" s="14"/>
      <c r="E46" s="27">
        <f>+E43-E45</f>
        <v>0</v>
      </c>
    </row>
    <row r="49" spans="1:17" ht="15" x14ac:dyDescent="0.25">
      <c r="B49" s="183" t="s">
        <v>57</v>
      </c>
      <c r="C49" s="183"/>
      <c r="D49" s="183"/>
      <c r="E49" s="87" t="s">
        <v>48</v>
      </c>
    </row>
    <row r="50" spans="1:17" x14ac:dyDescent="0.2">
      <c r="B50" s="12" t="s">
        <v>58</v>
      </c>
      <c r="C50" s="12"/>
      <c r="D50" s="12"/>
      <c r="E50" s="16">
        <f>+E22*15</f>
        <v>4000.0000000000005</v>
      </c>
      <c r="F50" s="28" t="s">
        <v>254</v>
      </c>
    </row>
    <row r="51" spans="1:17" x14ac:dyDescent="0.2">
      <c r="B51" s="12" t="s">
        <v>50</v>
      </c>
      <c r="C51" s="12"/>
      <c r="D51" s="12"/>
      <c r="E51" s="16">
        <f>+G16</f>
        <v>89.62</v>
      </c>
    </row>
    <row r="52" spans="1:17" ht="15" x14ac:dyDescent="0.25">
      <c r="B52" s="12" t="s">
        <v>59</v>
      </c>
      <c r="C52" s="12"/>
      <c r="D52" s="12"/>
      <c r="E52" s="22">
        <f>IF(E50&gt;(E51*30),E51*30,E50)</f>
        <v>2688.6000000000004</v>
      </c>
      <c r="F52" s="28" t="s">
        <v>350</v>
      </c>
      <c r="H52" s="89" t="s">
        <v>230</v>
      </c>
    </row>
    <row r="53" spans="1:17" ht="15" x14ac:dyDescent="0.25">
      <c r="B53" s="14" t="s">
        <v>60</v>
      </c>
      <c r="C53" s="12"/>
      <c r="D53" s="12"/>
      <c r="E53" s="40">
        <f>+E50-E52</f>
        <v>1311.4</v>
      </c>
    </row>
    <row r="56" spans="1:17" ht="15" x14ac:dyDescent="0.25">
      <c r="B56" s="183" t="s">
        <v>392</v>
      </c>
      <c r="C56" s="183"/>
      <c r="D56" s="183"/>
      <c r="E56" s="87" t="s">
        <v>48</v>
      </c>
    </row>
    <row r="57" spans="1:17" x14ac:dyDescent="0.2">
      <c r="B57" s="12" t="s">
        <v>256</v>
      </c>
      <c r="C57" s="12"/>
      <c r="D57" s="12"/>
      <c r="E57" s="16">
        <v>13268</v>
      </c>
      <c r="F57" s="28" t="s">
        <v>258</v>
      </c>
    </row>
    <row r="58" spans="1:17" x14ac:dyDescent="0.2">
      <c r="B58" s="12" t="s">
        <v>255</v>
      </c>
      <c r="C58" s="12"/>
      <c r="D58" s="12"/>
      <c r="E58" s="16">
        <v>11000</v>
      </c>
    </row>
    <row r="59" spans="1:17" ht="15" x14ac:dyDescent="0.25">
      <c r="B59" s="12" t="s">
        <v>257</v>
      </c>
      <c r="C59" s="12"/>
      <c r="D59" s="12"/>
      <c r="E59" s="22">
        <f>+E57-E58</f>
        <v>2268</v>
      </c>
      <c r="F59" s="28" t="s">
        <v>259</v>
      </c>
      <c r="H59" s="89" t="s">
        <v>260</v>
      </c>
    </row>
    <row r="60" spans="1:17" ht="15" x14ac:dyDescent="0.25">
      <c r="B60" s="120" t="s">
        <v>261</v>
      </c>
      <c r="C60" s="12"/>
      <c r="D60" s="12"/>
      <c r="E60" s="121">
        <f>+E59</f>
        <v>2268</v>
      </c>
    </row>
    <row r="63" spans="1:17" x14ac:dyDescent="0.2">
      <c r="A63" s="91"/>
      <c r="B63" s="91"/>
      <c r="C63" s="91"/>
      <c r="D63" s="91"/>
      <c r="E63" s="91"/>
      <c r="F63" s="91"/>
      <c r="G63" s="91"/>
      <c r="H63" s="91"/>
      <c r="I63" s="91"/>
      <c r="J63" s="91"/>
      <c r="K63" s="91"/>
      <c r="L63" s="91"/>
      <c r="M63" s="91"/>
      <c r="N63" s="91"/>
      <c r="O63" s="91"/>
      <c r="P63" s="91"/>
      <c r="Q63" s="91"/>
    </row>
    <row r="65" spans="2:15" ht="15" x14ac:dyDescent="0.25">
      <c r="B65" s="29" t="s">
        <v>281</v>
      </c>
    </row>
    <row r="66" spans="2:15" ht="15" x14ac:dyDescent="0.25">
      <c r="B66" s="29"/>
    </row>
    <row r="67" spans="2:15" ht="15" x14ac:dyDescent="0.25">
      <c r="B67" s="29" t="s">
        <v>282</v>
      </c>
      <c r="L67" s="29" t="s">
        <v>277</v>
      </c>
    </row>
    <row r="68" spans="2:15" ht="15" x14ac:dyDescent="0.25">
      <c r="B68" s="122"/>
      <c r="C68" s="88" t="s">
        <v>268</v>
      </c>
      <c r="D68" s="122"/>
      <c r="E68" s="122"/>
      <c r="F68" s="122"/>
      <c r="G68" s="88" t="s">
        <v>266</v>
      </c>
      <c r="H68" s="88" t="s">
        <v>280</v>
      </c>
      <c r="I68" s="88" t="s">
        <v>278</v>
      </c>
      <c r="L68" s="184" t="s">
        <v>34</v>
      </c>
      <c r="M68" s="184"/>
      <c r="N68" s="184"/>
      <c r="O68" s="88" t="s">
        <v>273</v>
      </c>
    </row>
    <row r="69" spans="2:15" ht="15" x14ac:dyDescent="0.25">
      <c r="B69" s="88" t="s">
        <v>262</v>
      </c>
      <c r="C69" s="88" t="s">
        <v>263</v>
      </c>
      <c r="D69" s="88" t="s">
        <v>264</v>
      </c>
      <c r="E69" s="88" t="s">
        <v>265</v>
      </c>
      <c r="F69" s="88" t="s">
        <v>264</v>
      </c>
      <c r="G69" s="88" t="s">
        <v>267</v>
      </c>
      <c r="H69" s="88" t="s">
        <v>276</v>
      </c>
      <c r="I69" s="88" t="s">
        <v>279</v>
      </c>
      <c r="L69" s="1" t="s">
        <v>270</v>
      </c>
      <c r="O69" s="1">
        <f>+G82</f>
        <v>25000</v>
      </c>
    </row>
    <row r="70" spans="2:15" x14ac:dyDescent="0.2">
      <c r="B70" s="1" t="s">
        <v>12</v>
      </c>
      <c r="C70" s="1">
        <v>25000</v>
      </c>
      <c r="D70" s="1">
        <v>31</v>
      </c>
      <c r="E70" s="95">
        <f>+C70*D70</f>
        <v>775000</v>
      </c>
      <c r="F70" s="95">
        <v>31</v>
      </c>
      <c r="G70" s="95">
        <f>+E70/F70</f>
        <v>25000</v>
      </c>
      <c r="H70" s="95">
        <f>0.07/12*C70</f>
        <v>145.83333333333334</v>
      </c>
      <c r="I70" s="95">
        <f>0.0097/12*C70</f>
        <v>20.208333333333332</v>
      </c>
      <c r="K70" s="76" t="s">
        <v>39</v>
      </c>
      <c r="L70" s="1" t="s">
        <v>271</v>
      </c>
      <c r="O70" s="73">
        <f>+H86</f>
        <v>6.4400000000000013E-2</v>
      </c>
    </row>
    <row r="71" spans="2:15" ht="15" x14ac:dyDescent="0.25">
      <c r="B71" s="1" t="s">
        <v>16</v>
      </c>
      <c r="C71" s="1">
        <v>25000</v>
      </c>
      <c r="D71" s="1">
        <v>29</v>
      </c>
      <c r="E71" s="95">
        <f t="shared" ref="E71:E81" si="6">+C71*D71</f>
        <v>725000</v>
      </c>
      <c r="F71" s="95">
        <v>29</v>
      </c>
      <c r="G71" s="95">
        <f t="shared" ref="G71:G81" si="7">+E71/F71</f>
        <v>25000</v>
      </c>
      <c r="H71" s="95">
        <f t="shared" ref="H71:H81" si="8">0.07/12*C71</f>
        <v>145.83333333333334</v>
      </c>
      <c r="I71" s="95">
        <f t="shared" ref="I71:I81" si="9">0.0097/12*C71</f>
        <v>20.208333333333332</v>
      </c>
      <c r="K71" s="76" t="s">
        <v>37</v>
      </c>
      <c r="L71" s="15" t="s">
        <v>272</v>
      </c>
      <c r="O71" s="15">
        <f>+O69*O70</f>
        <v>1610.0000000000002</v>
      </c>
    </row>
    <row r="72" spans="2:15" x14ac:dyDescent="0.2">
      <c r="B72" s="1" t="s">
        <v>20</v>
      </c>
      <c r="C72" s="1">
        <v>25000</v>
      </c>
      <c r="D72" s="1">
        <v>31</v>
      </c>
      <c r="E72" s="95">
        <f t="shared" si="6"/>
        <v>775000</v>
      </c>
      <c r="F72" s="95">
        <v>31</v>
      </c>
      <c r="G72" s="95">
        <f t="shared" si="7"/>
        <v>25000</v>
      </c>
      <c r="H72" s="95">
        <f t="shared" si="8"/>
        <v>145.83333333333334</v>
      </c>
      <c r="I72" s="95">
        <f t="shared" si="9"/>
        <v>20.208333333333332</v>
      </c>
    </row>
    <row r="73" spans="2:15" x14ac:dyDescent="0.2">
      <c r="B73" s="1" t="s">
        <v>13</v>
      </c>
      <c r="C73" s="1">
        <v>25000</v>
      </c>
      <c r="D73" s="1">
        <v>30</v>
      </c>
      <c r="E73" s="95">
        <f t="shared" si="6"/>
        <v>750000</v>
      </c>
      <c r="F73" s="95">
        <v>30</v>
      </c>
      <c r="G73" s="95">
        <f t="shared" si="7"/>
        <v>25000</v>
      </c>
      <c r="H73" s="95">
        <f t="shared" si="8"/>
        <v>145.83333333333334</v>
      </c>
      <c r="I73" s="95">
        <f t="shared" si="9"/>
        <v>20.208333333333332</v>
      </c>
    </row>
    <row r="74" spans="2:15" ht="15" x14ac:dyDescent="0.25">
      <c r="B74" s="1" t="s">
        <v>17</v>
      </c>
      <c r="C74" s="1">
        <v>25000</v>
      </c>
      <c r="D74" s="1">
        <v>31</v>
      </c>
      <c r="E74" s="95">
        <f t="shared" si="6"/>
        <v>775000</v>
      </c>
      <c r="F74" s="95">
        <v>31</v>
      </c>
      <c r="G74" s="95">
        <f t="shared" si="7"/>
        <v>25000</v>
      </c>
      <c r="H74" s="95">
        <f t="shared" si="8"/>
        <v>145.83333333333334</v>
      </c>
      <c r="I74" s="95">
        <f t="shared" si="9"/>
        <v>20.208333333333332</v>
      </c>
      <c r="L74" s="184" t="s">
        <v>34</v>
      </c>
      <c r="M74" s="184"/>
      <c r="N74" s="184"/>
      <c r="O74" s="88" t="s">
        <v>273</v>
      </c>
    </row>
    <row r="75" spans="2:15" x14ac:dyDescent="0.2">
      <c r="B75" s="1" t="s">
        <v>21</v>
      </c>
      <c r="C75" s="1">
        <v>25000</v>
      </c>
      <c r="D75" s="1">
        <v>30</v>
      </c>
      <c r="E75" s="95">
        <f t="shared" si="6"/>
        <v>750000</v>
      </c>
      <c r="F75" s="95">
        <v>30</v>
      </c>
      <c r="G75" s="95">
        <f t="shared" si="7"/>
        <v>25000</v>
      </c>
      <c r="H75" s="95">
        <f t="shared" si="8"/>
        <v>145.83333333333334</v>
      </c>
      <c r="I75" s="95">
        <f t="shared" si="9"/>
        <v>20.208333333333332</v>
      </c>
      <c r="L75" s="1" t="s">
        <v>274</v>
      </c>
      <c r="O75" s="1">
        <f>+C70*0.07</f>
        <v>1750.0000000000002</v>
      </c>
    </row>
    <row r="76" spans="2:15" ht="15" thickBot="1" x14ac:dyDescent="0.25">
      <c r="B76" s="1" t="s">
        <v>14</v>
      </c>
      <c r="C76" s="1">
        <v>25000</v>
      </c>
      <c r="D76" s="1">
        <v>31</v>
      </c>
      <c r="E76" s="95">
        <f t="shared" si="6"/>
        <v>775000</v>
      </c>
      <c r="F76" s="95">
        <v>31</v>
      </c>
      <c r="G76" s="95">
        <f t="shared" si="7"/>
        <v>25000</v>
      </c>
      <c r="H76" s="95">
        <f t="shared" si="8"/>
        <v>145.83333333333334</v>
      </c>
      <c r="I76" s="95">
        <f t="shared" si="9"/>
        <v>20.208333333333332</v>
      </c>
      <c r="K76" s="76" t="s">
        <v>36</v>
      </c>
      <c r="L76" s="1" t="s">
        <v>272</v>
      </c>
      <c r="O76" s="1">
        <f>+O71</f>
        <v>1610.0000000000002</v>
      </c>
    </row>
    <row r="77" spans="2:15" ht="15.75" thickBot="1" x14ac:dyDescent="0.3">
      <c r="B77" s="1" t="s">
        <v>18</v>
      </c>
      <c r="C77" s="1">
        <v>25000</v>
      </c>
      <c r="D77" s="1">
        <v>31</v>
      </c>
      <c r="E77" s="95">
        <f t="shared" si="6"/>
        <v>775000</v>
      </c>
      <c r="F77" s="95">
        <v>31</v>
      </c>
      <c r="G77" s="95">
        <f t="shared" si="7"/>
        <v>25000</v>
      </c>
      <c r="H77" s="95">
        <f t="shared" si="8"/>
        <v>145.83333333333334</v>
      </c>
      <c r="I77" s="95">
        <f t="shared" si="9"/>
        <v>20.208333333333332</v>
      </c>
      <c r="K77" s="77" t="s">
        <v>37</v>
      </c>
      <c r="L77" s="15" t="s">
        <v>275</v>
      </c>
      <c r="N77" s="125"/>
      <c r="O77" s="43">
        <f>+O75-O76</f>
        <v>140</v>
      </c>
    </row>
    <row r="78" spans="2:15" x14ac:dyDescent="0.2">
      <c r="B78" s="1" t="s">
        <v>22</v>
      </c>
      <c r="C78" s="1">
        <v>25000</v>
      </c>
      <c r="D78" s="1">
        <v>30</v>
      </c>
      <c r="E78" s="95">
        <f t="shared" si="6"/>
        <v>750000</v>
      </c>
      <c r="F78" s="95">
        <v>30</v>
      </c>
      <c r="G78" s="95">
        <f t="shared" si="7"/>
        <v>25000</v>
      </c>
      <c r="H78" s="95">
        <f t="shared" si="8"/>
        <v>145.83333333333334</v>
      </c>
      <c r="I78" s="95">
        <f t="shared" si="9"/>
        <v>20.208333333333332</v>
      </c>
    </row>
    <row r="79" spans="2:15" x14ac:dyDescent="0.2">
      <c r="B79" s="1" t="s">
        <v>15</v>
      </c>
      <c r="C79" s="1">
        <v>25000</v>
      </c>
      <c r="D79" s="1">
        <v>31</v>
      </c>
      <c r="E79" s="95">
        <f t="shared" si="6"/>
        <v>775000</v>
      </c>
      <c r="F79" s="95">
        <v>31</v>
      </c>
      <c r="G79" s="95">
        <f t="shared" si="7"/>
        <v>25000</v>
      </c>
      <c r="H79" s="95">
        <f t="shared" si="8"/>
        <v>145.83333333333334</v>
      </c>
      <c r="I79" s="95">
        <f t="shared" si="9"/>
        <v>20.208333333333332</v>
      </c>
    </row>
    <row r="80" spans="2:15" x14ac:dyDescent="0.2">
      <c r="B80" s="1" t="s">
        <v>19</v>
      </c>
      <c r="C80" s="1">
        <v>25000</v>
      </c>
      <c r="D80" s="1">
        <v>30</v>
      </c>
      <c r="E80" s="95">
        <f t="shared" si="6"/>
        <v>750000</v>
      </c>
      <c r="F80" s="95">
        <v>30</v>
      </c>
      <c r="G80" s="95">
        <f t="shared" si="7"/>
        <v>25000</v>
      </c>
      <c r="H80" s="95">
        <f t="shared" si="8"/>
        <v>145.83333333333334</v>
      </c>
      <c r="I80" s="95">
        <f t="shared" si="9"/>
        <v>20.208333333333332</v>
      </c>
      <c r="L80" s="127" t="s">
        <v>284</v>
      </c>
      <c r="M80" s="127"/>
      <c r="N80" s="127"/>
      <c r="O80" s="127"/>
    </row>
    <row r="81" spans="1:17" x14ac:dyDescent="0.2">
      <c r="B81" s="1" t="s">
        <v>23</v>
      </c>
      <c r="C81" s="1">
        <v>25000</v>
      </c>
      <c r="D81" s="1">
        <v>31</v>
      </c>
      <c r="E81" s="95">
        <f t="shared" si="6"/>
        <v>775000</v>
      </c>
      <c r="F81" s="95">
        <v>31</v>
      </c>
      <c r="G81" s="95">
        <f t="shared" si="7"/>
        <v>25000</v>
      </c>
      <c r="H81" s="95">
        <f t="shared" si="8"/>
        <v>145.83333333333334</v>
      </c>
      <c r="I81" s="95">
        <f t="shared" si="9"/>
        <v>20.208333333333332</v>
      </c>
      <c r="L81" s="127" t="s">
        <v>286</v>
      </c>
      <c r="M81" s="127"/>
      <c r="N81" s="127"/>
      <c r="O81" s="127"/>
    </row>
    <row r="82" spans="1:17" ht="15" x14ac:dyDescent="0.25">
      <c r="E82" s="126">
        <f>SUM(E70:E81)</f>
        <v>9150000</v>
      </c>
      <c r="F82" s="126">
        <f>SUM(F70:F81)</f>
        <v>366</v>
      </c>
      <c r="G82" s="126">
        <f>+E82/F82</f>
        <v>25000</v>
      </c>
      <c r="H82" s="126">
        <f>SUM(H70:H81)</f>
        <v>1749.9999999999998</v>
      </c>
      <c r="I82" s="110">
        <f>SUM(I70:I81)</f>
        <v>242.50000000000003</v>
      </c>
      <c r="L82" s="127" t="s">
        <v>285</v>
      </c>
      <c r="M82" s="127"/>
      <c r="N82" s="127"/>
      <c r="O82" s="127"/>
    </row>
    <row r="83" spans="1:17" ht="15" x14ac:dyDescent="0.25">
      <c r="B83" s="29"/>
    </row>
    <row r="84" spans="1:17" ht="15" x14ac:dyDescent="0.25">
      <c r="B84" s="29" t="s">
        <v>283</v>
      </c>
      <c r="H84" s="124" t="s">
        <v>269</v>
      </c>
    </row>
    <row r="85" spans="1:17" ht="15.75" thickBot="1" x14ac:dyDescent="0.3">
      <c r="B85" s="29"/>
    </row>
    <row r="86" spans="1:17" ht="15.75" thickBot="1" x14ac:dyDescent="0.3">
      <c r="B86" s="33" t="s">
        <v>358</v>
      </c>
      <c r="C86" s="25"/>
      <c r="D86" s="25"/>
      <c r="E86" s="74">
        <f>+INPC!B654</f>
        <v>117.30800000000001</v>
      </c>
      <c r="F86" s="73">
        <f>TRUNC(E86/E87, 4)</f>
        <v>1.0644</v>
      </c>
      <c r="G86" s="1">
        <f>-(1)</f>
        <v>-1</v>
      </c>
      <c r="H86" s="123">
        <f>+F86+G86</f>
        <v>6.4400000000000013E-2</v>
      </c>
    </row>
    <row r="87" spans="1:17" x14ac:dyDescent="0.2">
      <c r="B87" s="12" t="s">
        <v>359</v>
      </c>
      <c r="E87" s="73">
        <f>+INPC!B643</f>
        <v>110.21</v>
      </c>
    </row>
    <row r="90" spans="1:17" x14ac:dyDescent="0.2">
      <c r="A90" s="91"/>
      <c r="B90" s="91"/>
      <c r="C90" s="91"/>
      <c r="D90" s="91"/>
      <c r="E90" s="91"/>
      <c r="F90" s="91"/>
      <c r="G90" s="91"/>
      <c r="H90" s="91"/>
      <c r="I90" s="91"/>
      <c r="J90" s="91"/>
      <c r="K90" s="91"/>
      <c r="L90" s="91"/>
      <c r="M90" s="91"/>
      <c r="N90" s="91"/>
      <c r="O90" s="91"/>
      <c r="P90" s="91"/>
      <c r="Q90" s="91"/>
    </row>
    <row r="92" spans="1:17" ht="15" x14ac:dyDescent="0.25">
      <c r="B92" s="29" t="s">
        <v>393</v>
      </c>
    </row>
    <row r="93" spans="1:17" ht="15" x14ac:dyDescent="0.25">
      <c r="B93" s="29"/>
    </row>
    <row r="94" spans="1:17" ht="15" x14ac:dyDescent="0.25">
      <c r="B94" s="83" t="s">
        <v>394</v>
      </c>
      <c r="I94" s="89" t="s">
        <v>295</v>
      </c>
    </row>
    <row r="95" spans="1:17" ht="15" x14ac:dyDescent="0.25">
      <c r="B95" s="83" t="s">
        <v>287</v>
      </c>
      <c r="I95" s="89" t="s">
        <v>296</v>
      </c>
    </row>
    <row r="96" spans="1:17" ht="15" x14ac:dyDescent="0.25">
      <c r="A96" s="36"/>
      <c r="B96" s="14"/>
      <c r="C96" s="14"/>
      <c r="D96" s="14"/>
      <c r="E96" s="27"/>
      <c r="F96" s="12"/>
      <c r="G96" s="12"/>
      <c r="H96" s="12"/>
      <c r="I96" s="12"/>
      <c r="J96" s="12"/>
      <c r="K96" s="12"/>
      <c r="L96" s="12"/>
      <c r="M96" s="12"/>
      <c r="N96" s="12"/>
      <c r="O96" s="12"/>
    </row>
    <row r="97" spans="1:17" ht="15" x14ac:dyDescent="0.25">
      <c r="A97" s="106"/>
      <c r="B97" s="107"/>
      <c r="C97" s="107"/>
      <c r="D97" s="107"/>
      <c r="E97" s="108"/>
      <c r="F97" s="109"/>
      <c r="G97" s="109"/>
      <c r="H97" s="109"/>
      <c r="I97" s="109"/>
      <c r="J97" s="109"/>
      <c r="K97" s="109"/>
      <c r="L97" s="109"/>
      <c r="M97" s="109"/>
      <c r="N97" s="109"/>
      <c r="O97" s="109"/>
      <c r="P97" s="91"/>
      <c r="Q97" s="91"/>
    </row>
    <row r="98" spans="1:17" x14ac:dyDescent="0.2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</row>
    <row r="99" spans="1:17" ht="15" x14ac:dyDescent="0.25">
      <c r="B99" s="29" t="s">
        <v>100</v>
      </c>
      <c r="I99" s="29" t="s">
        <v>92</v>
      </c>
    </row>
    <row r="100" spans="1:17" ht="15" x14ac:dyDescent="0.25">
      <c r="A100" s="12"/>
      <c r="B100" s="183" t="s">
        <v>81</v>
      </c>
      <c r="C100" s="183"/>
      <c r="D100" s="183"/>
      <c r="E100" s="87" t="s">
        <v>82</v>
      </c>
      <c r="F100" s="87" t="s">
        <v>83</v>
      </c>
      <c r="H100" s="12"/>
      <c r="I100" s="183" t="s">
        <v>81</v>
      </c>
      <c r="J100" s="183"/>
      <c r="K100" s="183"/>
      <c r="L100" s="87" t="s">
        <v>82</v>
      </c>
      <c r="M100" s="87" t="s">
        <v>235</v>
      </c>
      <c r="N100" s="87" t="s">
        <v>234</v>
      </c>
    </row>
    <row r="101" spans="1:17" x14ac:dyDescent="0.2">
      <c r="A101" s="12"/>
      <c r="B101" s="12" t="s">
        <v>84</v>
      </c>
      <c r="C101" s="12"/>
      <c r="D101" s="12"/>
      <c r="E101" s="16">
        <f>+P26</f>
        <v>96000</v>
      </c>
      <c r="F101" s="16">
        <v>0</v>
      </c>
      <c r="H101" s="12"/>
      <c r="I101" s="12" t="s">
        <v>93</v>
      </c>
      <c r="J101" s="12"/>
      <c r="K101" s="12"/>
      <c r="L101" s="16">
        <v>25000</v>
      </c>
      <c r="M101" s="1">
        <v>0</v>
      </c>
      <c r="N101" s="1">
        <f>+L101</f>
        <v>25000</v>
      </c>
    </row>
    <row r="102" spans="1:17" x14ac:dyDescent="0.2">
      <c r="A102" s="20" t="s">
        <v>42</v>
      </c>
      <c r="B102" s="12" t="s">
        <v>301</v>
      </c>
      <c r="C102" s="12"/>
      <c r="D102" s="12"/>
      <c r="E102" s="16">
        <f>+E57</f>
        <v>13268</v>
      </c>
      <c r="F102" s="16">
        <v>13268</v>
      </c>
      <c r="H102" s="20" t="s">
        <v>42</v>
      </c>
      <c r="I102" s="12" t="s">
        <v>94</v>
      </c>
      <c r="J102" s="12"/>
      <c r="K102" s="12"/>
      <c r="L102" s="16">
        <v>0</v>
      </c>
      <c r="M102" s="1">
        <v>32693.4</v>
      </c>
      <c r="N102" s="1">
        <f>+L102</f>
        <v>0</v>
      </c>
    </row>
    <row r="103" spans="1:17" x14ac:dyDescent="0.2">
      <c r="A103" s="20" t="s">
        <v>42</v>
      </c>
      <c r="B103" s="12" t="s">
        <v>86</v>
      </c>
      <c r="C103" s="12"/>
      <c r="D103" s="12"/>
      <c r="E103" s="16">
        <f>+E50</f>
        <v>4000.0000000000005</v>
      </c>
      <c r="F103" s="16">
        <f>+E52</f>
        <v>2688.6000000000004</v>
      </c>
      <c r="H103" s="20" t="s">
        <v>42</v>
      </c>
      <c r="I103" s="12" t="s">
        <v>95</v>
      </c>
      <c r="J103" s="12"/>
      <c r="K103" s="12"/>
      <c r="L103" s="16">
        <v>6985</v>
      </c>
      <c r="M103" s="1">
        <v>0</v>
      </c>
      <c r="N103" s="1">
        <f>+L103</f>
        <v>6985</v>
      </c>
    </row>
    <row r="104" spans="1:17" x14ac:dyDescent="0.2">
      <c r="A104" s="20" t="s">
        <v>42</v>
      </c>
      <c r="B104" s="12" t="s">
        <v>87</v>
      </c>
      <c r="C104" s="12"/>
      <c r="D104" s="12"/>
      <c r="E104" s="16">
        <f>+E43</f>
        <v>400</v>
      </c>
      <c r="F104" s="16">
        <f>+E45</f>
        <v>400</v>
      </c>
      <c r="H104" s="20" t="s">
        <v>42</v>
      </c>
      <c r="I104" s="12" t="s">
        <v>96</v>
      </c>
      <c r="J104" s="12"/>
      <c r="K104" s="12"/>
      <c r="L104" s="16">
        <v>3062</v>
      </c>
      <c r="N104" s="1">
        <f>+L104</f>
        <v>3062</v>
      </c>
    </row>
    <row r="105" spans="1:17" x14ac:dyDescent="0.2">
      <c r="A105" s="20" t="s">
        <v>42</v>
      </c>
      <c r="B105" s="12" t="s">
        <v>288</v>
      </c>
      <c r="C105" s="12"/>
      <c r="D105" s="12"/>
      <c r="E105" s="16">
        <f>+O77</f>
        <v>140</v>
      </c>
      <c r="F105" s="16">
        <v>0</v>
      </c>
      <c r="H105" s="20" t="s">
        <v>42</v>
      </c>
      <c r="I105" s="12" t="s">
        <v>247</v>
      </c>
      <c r="J105" s="12"/>
      <c r="K105" s="12"/>
      <c r="L105" s="1">
        <v>10000</v>
      </c>
      <c r="M105" s="16">
        <f>+E122*0.1</f>
        <v>9745.1400000000031</v>
      </c>
      <c r="N105" s="1">
        <f>+M105</f>
        <v>9745.1400000000031</v>
      </c>
    </row>
    <row r="106" spans="1:17" x14ac:dyDescent="0.2">
      <c r="A106" s="20" t="s">
        <v>42</v>
      </c>
      <c r="B106" s="12" t="s">
        <v>290</v>
      </c>
      <c r="C106" s="12"/>
      <c r="D106" s="12"/>
      <c r="E106" s="16">
        <v>0</v>
      </c>
      <c r="F106" s="16">
        <v>0</v>
      </c>
      <c r="H106" s="20" t="s">
        <v>42</v>
      </c>
      <c r="I106" s="12" t="s">
        <v>291</v>
      </c>
      <c r="J106" s="12"/>
      <c r="K106" s="12"/>
      <c r="L106" s="1">
        <v>3200</v>
      </c>
      <c r="M106" s="16">
        <v>2500</v>
      </c>
      <c r="N106" s="1">
        <f>+M106</f>
        <v>2500</v>
      </c>
    </row>
    <row r="107" spans="1:17" x14ac:dyDescent="0.2">
      <c r="A107" s="20" t="s">
        <v>42</v>
      </c>
      <c r="B107" s="33" t="s">
        <v>289</v>
      </c>
      <c r="C107" s="33"/>
      <c r="D107" s="33"/>
      <c r="E107" s="22">
        <v>500000</v>
      </c>
      <c r="F107" s="22">
        <v>500000</v>
      </c>
      <c r="H107" s="20" t="s">
        <v>42</v>
      </c>
      <c r="I107" s="33" t="s">
        <v>98</v>
      </c>
      <c r="J107" s="33"/>
      <c r="K107" s="33"/>
      <c r="L107" s="22">
        <v>0</v>
      </c>
      <c r="M107" s="25">
        <v>0</v>
      </c>
      <c r="N107" s="25">
        <v>0</v>
      </c>
    </row>
    <row r="108" spans="1:17" ht="15" x14ac:dyDescent="0.25">
      <c r="A108" s="36" t="s">
        <v>37</v>
      </c>
      <c r="B108" s="14" t="s">
        <v>88</v>
      </c>
      <c r="C108" s="12"/>
      <c r="D108" s="12"/>
      <c r="E108" s="27">
        <f>SUM(E101:E107)</f>
        <v>613808</v>
      </c>
      <c r="F108" s="27">
        <f>SUM(F101:F107)</f>
        <v>516356.6</v>
      </c>
      <c r="H108" s="36" t="s">
        <v>37</v>
      </c>
      <c r="I108" s="14" t="s">
        <v>99</v>
      </c>
      <c r="J108" s="12"/>
      <c r="K108" s="12"/>
      <c r="L108" s="27">
        <f>SUM(L101:L107)</f>
        <v>48247</v>
      </c>
      <c r="M108" s="27">
        <f t="shared" ref="M108:N108" si="10">SUM(M101:M107)</f>
        <v>44938.540000000008</v>
      </c>
      <c r="N108" s="40">
        <f t="shared" si="10"/>
        <v>47292.14</v>
      </c>
    </row>
    <row r="110" spans="1:17" ht="15" x14ac:dyDescent="0.25">
      <c r="B110" s="12" t="s">
        <v>89</v>
      </c>
      <c r="C110" s="12"/>
      <c r="E110" s="1">
        <f>+E108*0.15</f>
        <v>92071.2</v>
      </c>
      <c r="I110" s="29" t="s">
        <v>101</v>
      </c>
    </row>
    <row r="111" spans="1:17" ht="15" x14ac:dyDescent="0.25">
      <c r="B111" s="12" t="s">
        <v>90</v>
      </c>
      <c r="C111" s="12"/>
      <c r="E111" s="1">
        <f>5*G17</f>
        <v>163467</v>
      </c>
      <c r="H111" s="12"/>
      <c r="I111" s="183" t="s">
        <v>81</v>
      </c>
      <c r="J111" s="183"/>
      <c r="K111" s="183"/>
      <c r="L111" s="87" t="s">
        <v>82</v>
      </c>
      <c r="M111" s="87" t="s">
        <v>235</v>
      </c>
      <c r="N111" s="87" t="s">
        <v>234</v>
      </c>
    </row>
    <row r="112" spans="1:17" x14ac:dyDescent="0.2">
      <c r="H112" s="12"/>
      <c r="I112" s="12" t="s">
        <v>102</v>
      </c>
      <c r="J112" s="12"/>
      <c r="K112" s="12"/>
      <c r="L112" s="16">
        <v>0</v>
      </c>
      <c r="M112" s="1">
        <v>152000</v>
      </c>
      <c r="N112" s="1">
        <f>+L112</f>
        <v>0</v>
      </c>
    </row>
    <row r="113" spans="1:14" ht="15" x14ac:dyDescent="0.25">
      <c r="B113" s="15" t="s">
        <v>91</v>
      </c>
      <c r="C113" s="15"/>
      <c r="D113" s="15"/>
      <c r="E113" s="110">
        <f>+E110</f>
        <v>92071.2</v>
      </c>
      <c r="H113" s="20" t="s">
        <v>42</v>
      </c>
      <c r="I113" s="33" t="s">
        <v>294</v>
      </c>
      <c r="J113" s="33"/>
      <c r="K113" s="33"/>
      <c r="L113" s="22">
        <v>22000</v>
      </c>
      <c r="M113" s="25">
        <v>14200</v>
      </c>
      <c r="N113" s="25">
        <f>+M113</f>
        <v>14200</v>
      </c>
    </row>
    <row r="114" spans="1:14" ht="15" x14ac:dyDescent="0.25">
      <c r="H114" s="36" t="s">
        <v>37</v>
      </c>
      <c r="I114" s="14" t="s">
        <v>103</v>
      </c>
      <c r="J114" s="12"/>
      <c r="K114" s="12"/>
      <c r="L114" s="27">
        <f>SUM(L112:L113)</f>
        <v>22000</v>
      </c>
      <c r="M114" s="27">
        <f t="shared" ref="M114:N114" si="11">SUM(M112:M113)</f>
        <v>166200</v>
      </c>
      <c r="N114" s="40">
        <f t="shared" si="11"/>
        <v>14200</v>
      </c>
    </row>
    <row r="116" spans="1:14" ht="15" x14ac:dyDescent="0.25">
      <c r="A116" s="95"/>
      <c r="B116" s="103" t="s">
        <v>250</v>
      </c>
      <c r="C116" s="95"/>
      <c r="D116" s="95"/>
      <c r="E116" s="95"/>
      <c r="F116" s="95"/>
      <c r="I116" s="29" t="s">
        <v>112</v>
      </c>
    </row>
    <row r="117" spans="1:14" ht="15" x14ac:dyDescent="0.25">
      <c r="A117" s="93"/>
      <c r="B117" s="183" t="s">
        <v>81</v>
      </c>
      <c r="C117" s="183"/>
      <c r="D117" s="183"/>
      <c r="E117" s="87" t="s">
        <v>48</v>
      </c>
      <c r="F117" s="95"/>
      <c r="H117" s="12"/>
      <c r="I117" s="183" t="s">
        <v>81</v>
      </c>
      <c r="J117" s="183"/>
      <c r="K117" s="183"/>
      <c r="L117" s="87" t="s">
        <v>82</v>
      </c>
    </row>
    <row r="118" spans="1:14" x14ac:dyDescent="0.2">
      <c r="A118" s="93"/>
      <c r="B118" s="93" t="s">
        <v>293</v>
      </c>
      <c r="C118" s="93"/>
      <c r="D118" s="93"/>
      <c r="E118" s="94">
        <f>+E108</f>
        <v>613808</v>
      </c>
      <c r="F118" s="95"/>
      <c r="H118" s="20"/>
      <c r="I118" s="12" t="s">
        <v>113</v>
      </c>
      <c r="J118" s="12"/>
      <c r="K118" s="12"/>
      <c r="L118" s="16">
        <f>+P36</f>
        <v>7299.7541120000014</v>
      </c>
    </row>
    <row r="119" spans="1:14" x14ac:dyDescent="0.2">
      <c r="A119" s="96" t="s">
        <v>36</v>
      </c>
      <c r="B119" s="93" t="s">
        <v>104</v>
      </c>
      <c r="C119" s="93"/>
      <c r="D119" s="93"/>
      <c r="E119" s="97">
        <f>+F108</f>
        <v>516356.6</v>
      </c>
      <c r="F119" s="95"/>
      <c r="H119" s="20" t="s">
        <v>42</v>
      </c>
      <c r="I119" s="12" t="s">
        <v>292</v>
      </c>
      <c r="J119" s="12"/>
      <c r="K119" s="12"/>
      <c r="L119" s="16">
        <f>+I82</f>
        <v>242.50000000000003</v>
      </c>
    </row>
    <row r="120" spans="1:14" x14ac:dyDescent="0.2">
      <c r="A120" s="96" t="s">
        <v>37</v>
      </c>
      <c r="B120" s="93" t="s">
        <v>105</v>
      </c>
      <c r="C120" s="93"/>
      <c r="D120" s="93"/>
      <c r="E120" s="94">
        <f>+E118-E119</f>
        <v>97451.400000000023</v>
      </c>
      <c r="F120" s="95"/>
      <c r="H120" s="20" t="s">
        <v>42</v>
      </c>
      <c r="I120" s="33" t="s">
        <v>115</v>
      </c>
      <c r="J120" s="33"/>
      <c r="K120" s="33"/>
      <c r="L120" s="22">
        <v>0</v>
      </c>
    </row>
    <row r="121" spans="1:14" ht="15" x14ac:dyDescent="0.25">
      <c r="A121" s="96" t="s">
        <v>36</v>
      </c>
      <c r="B121" s="93" t="s">
        <v>106</v>
      </c>
      <c r="C121" s="93"/>
      <c r="D121" s="93"/>
      <c r="E121" s="97">
        <v>0</v>
      </c>
      <c r="F121" s="95"/>
      <c r="H121" s="36" t="s">
        <v>37</v>
      </c>
      <c r="I121" s="14" t="s">
        <v>116</v>
      </c>
      <c r="J121" s="14"/>
      <c r="K121" s="14"/>
      <c r="L121" s="40">
        <f>SUM(L118:L120)</f>
        <v>7542.2541120000014</v>
      </c>
    </row>
    <row r="122" spans="1:14" x14ac:dyDescent="0.2">
      <c r="A122" s="96" t="s">
        <v>37</v>
      </c>
      <c r="B122" s="93" t="s">
        <v>107</v>
      </c>
      <c r="C122" s="93"/>
      <c r="D122" s="93"/>
      <c r="E122" s="94">
        <f>+E120-E121</f>
        <v>97451.400000000023</v>
      </c>
      <c r="F122" s="95"/>
      <c r="H122" s="20"/>
      <c r="I122" s="12"/>
      <c r="J122" s="12"/>
      <c r="K122" s="12"/>
      <c r="L122" s="16"/>
    </row>
    <row r="123" spans="1:14" ht="15" x14ac:dyDescent="0.25">
      <c r="A123" s="96" t="s">
        <v>36</v>
      </c>
      <c r="B123" s="93" t="s">
        <v>108</v>
      </c>
      <c r="C123" s="93"/>
      <c r="D123" s="93"/>
      <c r="E123" s="97">
        <f>+N108+N114</f>
        <v>61492.14</v>
      </c>
      <c r="F123" s="95"/>
      <c r="H123" s="128"/>
      <c r="I123" s="129"/>
      <c r="J123" s="129"/>
      <c r="K123" s="129"/>
      <c r="L123" s="129"/>
      <c r="M123" s="130"/>
      <c r="N123" s="130"/>
    </row>
    <row r="124" spans="1:14" ht="15" x14ac:dyDescent="0.25">
      <c r="A124" s="98" t="s">
        <v>37</v>
      </c>
      <c r="B124" s="99" t="s">
        <v>109</v>
      </c>
      <c r="C124" s="93"/>
      <c r="D124" s="93"/>
      <c r="E124" s="100">
        <f>+E122-E123</f>
        <v>35959.260000000024</v>
      </c>
      <c r="F124" s="95"/>
      <c r="H124" s="131"/>
      <c r="I124" s="129"/>
      <c r="J124" s="129"/>
      <c r="K124" s="129"/>
      <c r="L124" s="129"/>
      <c r="M124" s="130"/>
      <c r="N124" s="130"/>
    </row>
    <row r="125" spans="1:14" x14ac:dyDescent="0.2">
      <c r="A125" s="96" t="s">
        <v>36</v>
      </c>
      <c r="B125" s="93" t="s">
        <v>1</v>
      </c>
      <c r="C125" s="93"/>
      <c r="D125" s="93"/>
      <c r="E125" s="97">
        <f>VLOOKUP(E124,Tarifas!N3:Q16,1)</f>
        <v>7735.01</v>
      </c>
      <c r="F125" s="95"/>
      <c r="H125" s="130"/>
      <c r="I125" s="130"/>
      <c r="J125" s="130"/>
      <c r="K125" s="130"/>
      <c r="L125" s="130"/>
      <c r="M125" s="130"/>
      <c r="N125" s="130"/>
    </row>
    <row r="126" spans="1:14" ht="15" x14ac:dyDescent="0.25">
      <c r="A126" s="96" t="s">
        <v>37</v>
      </c>
      <c r="B126" s="93" t="s">
        <v>38</v>
      </c>
      <c r="C126" s="93"/>
      <c r="D126" s="93"/>
      <c r="E126" s="94">
        <f>+E124-E125</f>
        <v>28224.250000000022</v>
      </c>
      <c r="F126" s="95"/>
      <c r="H126" s="130"/>
      <c r="I126" s="129"/>
      <c r="J126" s="130"/>
      <c r="K126" s="130"/>
      <c r="L126" s="130"/>
      <c r="M126" s="130"/>
      <c r="N126" s="130"/>
    </row>
    <row r="127" spans="1:14" ht="15" x14ac:dyDescent="0.25">
      <c r="A127" s="96" t="s">
        <v>39</v>
      </c>
      <c r="B127" s="93" t="s">
        <v>40</v>
      </c>
      <c r="C127" s="93"/>
      <c r="D127" s="93"/>
      <c r="E127" s="101">
        <f>VLOOKUP(E124,Tarifas!N3:Q16,4)/100</f>
        <v>6.4000000000000001E-2</v>
      </c>
      <c r="F127" s="95"/>
      <c r="H127" s="130"/>
      <c r="I127" s="185"/>
      <c r="J127" s="185"/>
      <c r="K127" s="185"/>
      <c r="L127" s="132"/>
      <c r="M127" s="130"/>
      <c r="N127" s="130"/>
    </row>
    <row r="128" spans="1:14" x14ac:dyDescent="0.2">
      <c r="A128" s="96" t="s">
        <v>37</v>
      </c>
      <c r="B128" s="93" t="s">
        <v>41</v>
      </c>
      <c r="C128" s="93"/>
      <c r="D128" s="93"/>
      <c r="E128" s="94">
        <f>+E126*E127</f>
        <v>1806.3520000000015</v>
      </c>
      <c r="F128" s="95"/>
      <c r="H128" s="133"/>
      <c r="I128" s="133"/>
      <c r="J128" s="133"/>
      <c r="K128" s="133"/>
      <c r="L128" s="134"/>
      <c r="M128" s="130"/>
      <c r="N128" s="130"/>
    </row>
    <row r="129" spans="1:14" ht="15" x14ac:dyDescent="0.25">
      <c r="A129" s="96" t="s">
        <v>42</v>
      </c>
      <c r="B129" s="93" t="s">
        <v>3</v>
      </c>
      <c r="C129" s="93"/>
      <c r="D129" s="93"/>
      <c r="E129" s="97">
        <f>VLOOKUP(E124,Tarifas!N3:Q16,3)</f>
        <v>148.51</v>
      </c>
      <c r="F129" s="95"/>
      <c r="H129" s="135"/>
      <c r="I129" s="133"/>
      <c r="J129" s="133"/>
      <c r="K129" s="133"/>
      <c r="L129" s="134"/>
      <c r="M129" s="130"/>
      <c r="N129" s="130"/>
    </row>
    <row r="130" spans="1:14" ht="15" x14ac:dyDescent="0.25">
      <c r="A130" s="98" t="s">
        <v>37</v>
      </c>
      <c r="B130" s="99" t="s">
        <v>43</v>
      </c>
      <c r="C130" s="99"/>
      <c r="D130" s="99"/>
      <c r="E130" s="100">
        <f>+E128+E129</f>
        <v>1954.8620000000014</v>
      </c>
      <c r="F130" s="95"/>
      <c r="H130" s="135"/>
      <c r="I130" s="133"/>
      <c r="J130" s="133"/>
      <c r="K130" s="133"/>
      <c r="L130" s="136"/>
      <c r="M130" s="130"/>
      <c r="N130" s="130"/>
    </row>
    <row r="131" spans="1:14" ht="15" x14ac:dyDescent="0.25">
      <c r="A131" s="96" t="s">
        <v>36</v>
      </c>
      <c r="B131" s="93" t="s">
        <v>110</v>
      </c>
      <c r="C131" s="93"/>
      <c r="D131" s="93"/>
      <c r="E131" s="102">
        <f>+L124</f>
        <v>0</v>
      </c>
      <c r="F131" s="95"/>
      <c r="H131" s="135"/>
      <c r="I131" s="133"/>
      <c r="J131" s="133"/>
      <c r="K131" s="133"/>
      <c r="L131" s="134"/>
      <c r="M131" s="130"/>
      <c r="N131" s="130"/>
    </row>
    <row r="132" spans="1:14" ht="15" thickBot="1" x14ac:dyDescent="0.25">
      <c r="A132" s="96" t="s">
        <v>36</v>
      </c>
      <c r="B132" s="93" t="s">
        <v>124</v>
      </c>
      <c r="C132" s="93"/>
      <c r="D132" s="93"/>
      <c r="E132" s="97">
        <f>+L121</f>
        <v>7542.2541120000014</v>
      </c>
      <c r="F132" s="95"/>
    </row>
    <row r="133" spans="1:14" ht="15.75" thickBot="1" x14ac:dyDescent="0.3">
      <c r="A133" s="98" t="s">
        <v>37</v>
      </c>
      <c r="B133" s="99" t="s">
        <v>125</v>
      </c>
      <c r="C133" s="93"/>
      <c r="D133" s="93"/>
      <c r="E133" s="119">
        <f>+E130-E131-E132</f>
        <v>-5587.3921119999995</v>
      </c>
      <c r="F133" s="95"/>
    </row>
  </sheetData>
  <mergeCells count="14">
    <mergeCell ref="B13:D13"/>
    <mergeCell ref="B20:D20"/>
    <mergeCell ref="B25:C25"/>
    <mergeCell ref="B42:D42"/>
    <mergeCell ref="B49:D49"/>
    <mergeCell ref="B117:D117"/>
    <mergeCell ref="I117:K117"/>
    <mergeCell ref="I127:K127"/>
    <mergeCell ref="B56:D56"/>
    <mergeCell ref="L68:N68"/>
    <mergeCell ref="L74:N74"/>
    <mergeCell ref="B100:D100"/>
    <mergeCell ref="I100:K100"/>
    <mergeCell ref="I111:K111"/>
  </mergeCells>
  <pageMargins left="0.7" right="0.7" top="0.75" bottom="0.75" header="0.3" footer="0.3"/>
  <pageSetup orientation="portrait" r:id="rId1"/>
  <ignoredErrors>
    <ignoredError sqref="E123 E125 G82" formula="1"/>
  </ignoredError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273BE4-41A6-4BA3-90B2-FF7EFEDE39E9}">
  <sheetPr>
    <tabColor rgb="FFC00000"/>
  </sheetPr>
  <dimension ref="A10:R153"/>
  <sheetViews>
    <sheetView topLeftCell="A139" workbookViewId="0">
      <selection activeCell="M125" sqref="M125"/>
    </sheetView>
  </sheetViews>
  <sheetFormatPr baseColWidth="10" defaultRowHeight="14.25" x14ac:dyDescent="0.2"/>
  <cols>
    <col min="1" max="1" width="3.875" style="1" customWidth="1"/>
    <col min="2" max="4" width="11" style="1"/>
    <col min="5" max="5" width="12.625" style="1" customWidth="1"/>
    <col min="6" max="13" width="11" style="1"/>
    <col min="14" max="14" width="11.5" style="1" customWidth="1"/>
    <col min="15" max="16384" width="11" style="1"/>
  </cols>
  <sheetData>
    <row r="10" spans="2:7" ht="15" x14ac:dyDescent="0.25">
      <c r="B10" s="89" t="s">
        <v>297</v>
      </c>
    </row>
    <row r="12" spans="2:7" ht="15" x14ac:dyDescent="0.25">
      <c r="B12" s="29" t="s">
        <v>61</v>
      </c>
    </row>
    <row r="13" spans="2:7" ht="15" x14ac:dyDescent="0.25">
      <c r="B13" s="183" t="s">
        <v>24</v>
      </c>
      <c r="C13" s="183"/>
      <c r="D13" s="183"/>
      <c r="E13" s="87">
        <v>2019</v>
      </c>
      <c r="F13" s="87">
        <v>2020</v>
      </c>
      <c r="G13" s="87">
        <v>2021</v>
      </c>
    </row>
    <row r="14" spans="2:7" x14ac:dyDescent="0.2">
      <c r="B14" s="12" t="s">
        <v>25</v>
      </c>
      <c r="C14" s="12"/>
      <c r="D14" s="12"/>
      <c r="E14" s="13">
        <v>102.68</v>
      </c>
      <c r="F14" s="13">
        <v>123.22</v>
      </c>
      <c r="G14" s="19">
        <v>141.69999999999999</v>
      </c>
    </row>
    <row r="15" spans="2:7" x14ac:dyDescent="0.2">
      <c r="B15" s="12" t="s">
        <v>26</v>
      </c>
      <c r="C15" s="12"/>
      <c r="D15" s="12"/>
      <c r="E15" s="13">
        <v>176.72</v>
      </c>
      <c r="F15" s="13">
        <v>185.56</v>
      </c>
      <c r="G15" s="19">
        <v>213.39</v>
      </c>
    </row>
    <row r="16" spans="2:7" x14ac:dyDescent="0.2">
      <c r="B16" s="12" t="s">
        <v>28</v>
      </c>
      <c r="C16" s="12"/>
      <c r="D16" s="12"/>
      <c r="E16" s="13">
        <v>84.49</v>
      </c>
      <c r="F16" s="13">
        <v>86.88</v>
      </c>
      <c r="G16" s="19">
        <v>89.62</v>
      </c>
    </row>
    <row r="17" spans="1:16" x14ac:dyDescent="0.2">
      <c r="B17" s="12" t="s">
        <v>29</v>
      </c>
      <c r="C17" s="12"/>
      <c r="D17" s="12"/>
      <c r="E17" s="16">
        <v>30822</v>
      </c>
      <c r="F17" s="16">
        <v>31693.8</v>
      </c>
      <c r="G17" s="19">
        <v>32693.4</v>
      </c>
    </row>
    <row r="20" spans="1:16" ht="15" x14ac:dyDescent="0.25">
      <c r="B20" s="183" t="s">
        <v>34</v>
      </c>
      <c r="C20" s="183"/>
      <c r="D20" s="183" t="s">
        <v>31</v>
      </c>
      <c r="E20" s="87" t="s">
        <v>33</v>
      </c>
      <c r="F20" s="87" t="s">
        <v>32</v>
      </c>
      <c r="G20" s="87" t="s">
        <v>31</v>
      </c>
    </row>
    <row r="21" spans="1:16" x14ac:dyDescent="0.2">
      <c r="B21" s="1" t="s">
        <v>30</v>
      </c>
      <c r="E21" s="1">
        <v>8000</v>
      </c>
      <c r="F21" s="1">
        <v>8000</v>
      </c>
      <c r="G21" s="19">
        <v>8000</v>
      </c>
    </row>
    <row r="22" spans="1:16" x14ac:dyDescent="0.2">
      <c r="B22" s="1" t="s">
        <v>27</v>
      </c>
      <c r="E22" s="1">
        <f>+E21/30</f>
        <v>266.66666666666669</v>
      </c>
      <c r="F22" s="1">
        <f>+F21/30</f>
        <v>266.66666666666669</v>
      </c>
      <c r="G22" s="19">
        <f>+G21/30.4</f>
        <v>263.15789473684214</v>
      </c>
    </row>
    <row r="24" spans="1:16" ht="15" x14ac:dyDescent="0.25">
      <c r="B24" s="29" t="s">
        <v>62</v>
      </c>
    </row>
    <row r="25" spans="1:16" ht="15" x14ac:dyDescent="0.25">
      <c r="B25" s="184" t="s">
        <v>34</v>
      </c>
      <c r="C25" s="184"/>
      <c r="D25" s="21" t="s">
        <v>12</v>
      </c>
      <c r="E25" s="21" t="s">
        <v>16</v>
      </c>
      <c r="F25" s="21" t="s">
        <v>20</v>
      </c>
      <c r="G25" s="21" t="s">
        <v>13</v>
      </c>
      <c r="H25" s="21" t="s">
        <v>17</v>
      </c>
      <c r="I25" s="21" t="s">
        <v>21</v>
      </c>
      <c r="J25" s="21" t="s">
        <v>14</v>
      </c>
      <c r="K25" s="21" t="s">
        <v>18</v>
      </c>
      <c r="L25" s="21" t="s">
        <v>22</v>
      </c>
      <c r="M25" s="21" t="s">
        <v>15</v>
      </c>
      <c r="N25" s="21" t="s">
        <v>19</v>
      </c>
      <c r="O25" s="21" t="s">
        <v>23</v>
      </c>
      <c r="P25" s="87" t="s">
        <v>64</v>
      </c>
    </row>
    <row r="26" spans="1:16" ht="15" x14ac:dyDescent="0.25">
      <c r="A26" s="12"/>
      <c r="B26" s="12" t="s">
        <v>30</v>
      </c>
      <c r="C26" s="12"/>
      <c r="D26" s="1">
        <f>+$G$21</f>
        <v>8000</v>
      </c>
      <c r="E26" s="1">
        <f t="shared" ref="E26:O26" si="0">+$G$21</f>
        <v>8000</v>
      </c>
      <c r="F26" s="1">
        <f t="shared" si="0"/>
        <v>8000</v>
      </c>
      <c r="G26" s="1">
        <f t="shared" si="0"/>
        <v>8000</v>
      </c>
      <c r="H26" s="1">
        <f t="shared" si="0"/>
        <v>8000</v>
      </c>
      <c r="I26" s="1">
        <f t="shared" si="0"/>
        <v>8000</v>
      </c>
      <c r="J26" s="1">
        <f t="shared" si="0"/>
        <v>8000</v>
      </c>
      <c r="K26" s="1">
        <f t="shared" si="0"/>
        <v>8000</v>
      </c>
      <c r="L26" s="1">
        <f t="shared" si="0"/>
        <v>8000</v>
      </c>
      <c r="M26" s="1">
        <f t="shared" si="0"/>
        <v>8000</v>
      </c>
      <c r="N26" s="1">
        <f t="shared" si="0"/>
        <v>8000</v>
      </c>
      <c r="O26" s="1">
        <f t="shared" si="0"/>
        <v>8000</v>
      </c>
      <c r="P26" s="15">
        <f>SUM(D26:O26)</f>
        <v>96000</v>
      </c>
    </row>
    <row r="27" spans="1:16" x14ac:dyDescent="0.2">
      <c r="A27" s="20" t="s">
        <v>42</v>
      </c>
      <c r="B27" s="12" t="s">
        <v>46</v>
      </c>
      <c r="C27" s="12"/>
      <c r="D27" s="25">
        <v>0</v>
      </c>
      <c r="E27" s="25">
        <v>0</v>
      </c>
      <c r="F27" s="25">
        <v>0</v>
      </c>
      <c r="G27" s="25">
        <v>0</v>
      </c>
      <c r="H27" s="25">
        <v>0</v>
      </c>
      <c r="I27" s="25">
        <v>0</v>
      </c>
      <c r="J27" s="25">
        <v>0</v>
      </c>
      <c r="K27" s="25">
        <v>0</v>
      </c>
      <c r="L27" s="25">
        <v>0</v>
      </c>
      <c r="M27" s="25">
        <v>0</v>
      </c>
      <c r="N27" s="25">
        <v>0</v>
      </c>
      <c r="O27" s="39">
        <f>+E53</f>
        <v>1311.4</v>
      </c>
      <c r="P27" s="32"/>
    </row>
    <row r="28" spans="1:16" ht="15" x14ac:dyDescent="0.25">
      <c r="A28" s="26" t="s">
        <v>37</v>
      </c>
      <c r="B28" s="14" t="s">
        <v>35</v>
      </c>
      <c r="C28" s="14"/>
      <c r="D28" s="15">
        <f>+D26+D27</f>
        <v>8000</v>
      </c>
      <c r="E28" s="15">
        <f>+E26+E27</f>
        <v>8000</v>
      </c>
      <c r="F28" s="15">
        <f t="shared" ref="F28:O28" si="1">+F26+F27</f>
        <v>8000</v>
      </c>
      <c r="G28" s="15">
        <f t="shared" si="1"/>
        <v>8000</v>
      </c>
      <c r="H28" s="15">
        <f t="shared" si="1"/>
        <v>8000</v>
      </c>
      <c r="I28" s="15">
        <f t="shared" si="1"/>
        <v>8000</v>
      </c>
      <c r="J28" s="15">
        <f t="shared" si="1"/>
        <v>8000</v>
      </c>
      <c r="K28" s="15">
        <f t="shared" si="1"/>
        <v>8000</v>
      </c>
      <c r="L28" s="15">
        <f t="shared" si="1"/>
        <v>8000</v>
      </c>
      <c r="M28" s="15">
        <f t="shared" si="1"/>
        <v>8000</v>
      </c>
      <c r="N28" s="15">
        <f t="shared" si="1"/>
        <v>8000</v>
      </c>
      <c r="O28" s="15">
        <f t="shared" si="1"/>
        <v>9311.4</v>
      </c>
    </row>
    <row r="29" spans="1:16" x14ac:dyDescent="0.2">
      <c r="A29" s="20" t="s">
        <v>36</v>
      </c>
      <c r="B29" s="12" t="s">
        <v>1</v>
      </c>
      <c r="C29" s="12"/>
      <c r="D29" s="22">
        <f>VLOOKUP(D28,Tarifas!$B$3:$E$16,1)</f>
        <v>5470.93</v>
      </c>
      <c r="E29" s="22">
        <f>VLOOKUP(E28,Tarifas!$B$3:$E$16,1)</f>
        <v>5470.93</v>
      </c>
      <c r="F29" s="22">
        <f>VLOOKUP(F28,Tarifas!$B$3:$E$16,1)</f>
        <v>5470.93</v>
      </c>
      <c r="G29" s="22">
        <f>VLOOKUP(G28,Tarifas!$B$3:$E$16,1)</f>
        <v>5470.93</v>
      </c>
      <c r="H29" s="22">
        <f>VLOOKUP(H28,Tarifas!$B$3:$E$16,1)</f>
        <v>5470.93</v>
      </c>
      <c r="I29" s="22">
        <f>VLOOKUP(I28,Tarifas!$B$3:$E$16,1)</f>
        <v>5470.93</v>
      </c>
      <c r="J29" s="22">
        <f>VLOOKUP(J28,Tarifas!$B$3:$E$16,1)</f>
        <v>5470.93</v>
      </c>
      <c r="K29" s="22">
        <f>VLOOKUP(K28,Tarifas!$B$3:$E$16,1)</f>
        <v>5470.93</v>
      </c>
      <c r="L29" s="22">
        <f>VLOOKUP(L28,Tarifas!$B$3:$E$16,1)</f>
        <v>5470.93</v>
      </c>
      <c r="M29" s="22">
        <f>VLOOKUP(M28,Tarifas!$B$3:$E$16,1)</f>
        <v>5470.93</v>
      </c>
      <c r="N29" s="22">
        <f>VLOOKUP(N28,Tarifas!$B$3:$E$16,1)</f>
        <v>5470.93</v>
      </c>
      <c r="O29" s="22">
        <f>VLOOKUP(O28,Tarifas!$B$3:$E$16,1)</f>
        <v>5470.93</v>
      </c>
    </row>
    <row r="30" spans="1:16" x14ac:dyDescent="0.2">
      <c r="A30" s="20" t="s">
        <v>37</v>
      </c>
      <c r="B30" s="12" t="s">
        <v>38</v>
      </c>
      <c r="C30" s="12"/>
      <c r="D30" s="16">
        <f>+D28-D29</f>
        <v>2529.0699999999997</v>
      </c>
      <c r="E30" s="16">
        <f t="shared" ref="E30:O30" si="2">+E28-E29</f>
        <v>2529.0699999999997</v>
      </c>
      <c r="F30" s="16">
        <f t="shared" si="2"/>
        <v>2529.0699999999997</v>
      </c>
      <c r="G30" s="16">
        <f t="shared" si="2"/>
        <v>2529.0699999999997</v>
      </c>
      <c r="H30" s="16">
        <f t="shared" si="2"/>
        <v>2529.0699999999997</v>
      </c>
      <c r="I30" s="16">
        <f t="shared" si="2"/>
        <v>2529.0699999999997</v>
      </c>
      <c r="J30" s="16">
        <f t="shared" si="2"/>
        <v>2529.0699999999997</v>
      </c>
      <c r="K30" s="16">
        <f t="shared" si="2"/>
        <v>2529.0699999999997</v>
      </c>
      <c r="L30" s="16">
        <f t="shared" si="2"/>
        <v>2529.0699999999997</v>
      </c>
      <c r="M30" s="16">
        <f t="shared" si="2"/>
        <v>2529.0699999999997</v>
      </c>
      <c r="N30" s="16">
        <f t="shared" si="2"/>
        <v>2529.0699999999997</v>
      </c>
      <c r="O30" s="16">
        <f t="shared" si="2"/>
        <v>3840.4699999999993</v>
      </c>
    </row>
    <row r="31" spans="1:16" x14ac:dyDescent="0.2">
      <c r="A31" s="20" t="s">
        <v>39</v>
      </c>
      <c r="B31" s="12" t="s">
        <v>40</v>
      </c>
      <c r="C31" s="12"/>
      <c r="D31" s="23">
        <f>VLOOKUP(D28,Tarifas!$B$3:$E$16,4)/100</f>
        <v>0.10880000000000001</v>
      </c>
      <c r="E31" s="23">
        <f>VLOOKUP(E28,Tarifas!$B$3:$E$16,4)/100</f>
        <v>0.10880000000000001</v>
      </c>
      <c r="F31" s="23">
        <f>VLOOKUP(F28,Tarifas!$B$3:$E$16,4)/100</f>
        <v>0.10880000000000001</v>
      </c>
      <c r="G31" s="23">
        <f>VLOOKUP(G28,Tarifas!$B$3:$E$16,4)/100</f>
        <v>0.10880000000000001</v>
      </c>
      <c r="H31" s="23">
        <f>VLOOKUP(H28,Tarifas!$B$3:$E$16,4)/100</f>
        <v>0.10880000000000001</v>
      </c>
      <c r="I31" s="23">
        <f>VLOOKUP(I28,Tarifas!$B$3:$E$16,4)/100</f>
        <v>0.10880000000000001</v>
      </c>
      <c r="J31" s="23">
        <f>VLOOKUP(J28,Tarifas!$B$3:$E$16,4)/100</f>
        <v>0.10880000000000001</v>
      </c>
      <c r="K31" s="23">
        <f>VLOOKUP(K28,Tarifas!$B$3:$E$16,4)/100</f>
        <v>0.10880000000000001</v>
      </c>
      <c r="L31" s="23">
        <f>VLOOKUP(L28,Tarifas!$B$3:$E$16,4)/100</f>
        <v>0.10880000000000001</v>
      </c>
      <c r="M31" s="23">
        <f>VLOOKUP(M28,Tarifas!$B$3:$E$16,4)/100</f>
        <v>0.10880000000000001</v>
      </c>
      <c r="N31" s="23">
        <f>VLOOKUP(N28,Tarifas!$B$3:$E$16,4)/100</f>
        <v>0.10880000000000001</v>
      </c>
      <c r="O31" s="23">
        <f>VLOOKUP(O28,Tarifas!$B$3:$E$16,4)/100</f>
        <v>0.10880000000000001</v>
      </c>
    </row>
    <row r="32" spans="1:16" x14ac:dyDescent="0.2">
      <c r="A32" s="20" t="s">
        <v>37</v>
      </c>
      <c r="B32" s="12" t="s">
        <v>41</v>
      </c>
      <c r="C32" s="12"/>
      <c r="D32" s="16">
        <f>+D30*D31</f>
        <v>275.16281599999996</v>
      </c>
      <c r="E32" s="16">
        <f t="shared" ref="E32:O32" si="3">+E30*E31</f>
        <v>275.16281599999996</v>
      </c>
      <c r="F32" s="16">
        <f t="shared" si="3"/>
        <v>275.16281599999996</v>
      </c>
      <c r="G32" s="16">
        <f t="shared" si="3"/>
        <v>275.16281599999996</v>
      </c>
      <c r="H32" s="16">
        <f t="shared" si="3"/>
        <v>275.16281599999996</v>
      </c>
      <c r="I32" s="16">
        <f t="shared" si="3"/>
        <v>275.16281599999996</v>
      </c>
      <c r="J32" s="16">
        <f t="shared" si="3"/>
        <v>275.16281599999996</v>
      </c>
      <c r="K32" s="16">
        <f t="shared" si="3"/>
        <v>275.16281599999996</v>
      </c>
      <c r="L32" s="16">
        <f t="shared" si="3"/>
        <v>275.16281599999996</v>
      </c>
      <c r="M32" s="16">
        <f t="shared" si="3"/>
        <v>275.16281599999996</v>
      </c>
      <c r="N32" s="16">
        <f t="shared" si="3"/>
        <v>275.16281599999996</v>
      </c>
      <c r="O32" s="16">
        <f t="shared" si="3"/>
        <v>417.84313599999996</v>
      </c>
    </row>
    <row r="33" spans="1:16" x14ac:dyDescent="0.2">
      <c r="A33" s="20" t="s">
        <v>42</v>
      </c>
      <c r="B33" s="12" t="s">
        <v>3</v>
      </c>
      <c r="C33" s="12"/>
      <c r="D33" s="22">
        <f>VLOOKUP(D28,Tarifas!$B$3:$E$16,3)</f>
        <v>321.26</v>
      </c>
      <c r="E33" s="22">
        <f>VLOOKUP(E28,Tarifas!$B$3:$E$16,3)</f>
        <v>321.26</v>
      </c>
      <c r="F33" s="22">
        <f>VLOOKUP(F28,Tarifas!$B$3:$E$16,3)</f>
        <v>321.26</v>
      </c>
      <c r="G33" s="22">
        <f>VLOOKUP(G28,Tarifas!$B$3:$E$16,3)</f>
        <v>321.26</v>
      </c>
      <c r="H33" s="22">
        <f>VLOOKUP(H28,Tarifas!$B$3:$E$16,3)</f>
        <v>321.26</v>
      </c>
      <c r="I33" s="22">
        <f>VLOOKUP(I28,Tarifas!$B$3:$E$16,3)</f>
        <v>321.26</v>
      </c>
      <c r="J33" s="22">
        <f>VLOOKUP(J28,Tarifas!$B$3:$E$16,3)</f>
        <v>321.26</v>
      </c>
      <c r="K33" s="22">
        <f>VLOOKUP(K28,Tarifas!$B$3:$E$16,3)</f>
        <v>321.26</v>
      </c>
      <c r="L33" s="22">
        <f>VLOOKUP(L28,Tarifas!$B$3:$E$16,3)</f>
        <v>321.26</v>
      </c>
      <c r="M33" s="22">
        <f>VLOOKUP(M28,Tarifas!$B$3:$E$16,3)</f>
        <v>321.26</v>
      </c>
      <c r="N33" s="22">
        <f>VLOOKUP(N28,Tarifas!$B$3:$E$16,3)</f>
        <v>321.26</v>
      </c>
      <c r="O33" s="22">
        <f>VLOOKUP(O28,Tarifas!$B$3:$E$16,3)</f>
        <v>321.26</v>
      </c>
    </row>
    <row r="34" spans="1:16" ht="15" x14ac:dyDescent="0.25">
      <c r="A34" s="26" t="s">
        <v>37</v>
      </c>
      <c r="B34" s="14" t="s">
        <v>43</v>
      </c>
      <c r="C34" s="14"/>
      <c r="D34" s="27">
        <f>+D32+D33</f>
        <v>596.42281600000001</v>
      </c>
      <c r="E34" s="27">
        <f t="shared" ref="E34:O34" si="4">+E32+E33</f>
        <v>596.42281600000001</v>
      </c>
      <c r="F34" s="27">
        <f t="shared" si="4"/>
        <v>596.42281600000001</v>
      </c>
      <c r="G34" s="27">
        <f t="shared" si="4"/>
        <v>596.42281600000001</v>
      </c>
      <c r="H34" s="27">
        <f t="shared" si="4"/>
        <v>596.42281600000001</v>
      </c>
      <c r="I34" s="27">
        <f t="shared" si="4"/>
        <v>596.42281600000001</v>
      </c>
      <c r="J34" s="27">
        <f t="shared" si="4"/>
        <v>596.42281600000001</v>
      </c>
      <c r="K34" s="27">
        <f t="shared" si="4"/>
        <v>596.42281600000001</v>
      </c>
      <c r="L34" s="27">
        <f t="shared" si="4"/>
        <v>596.42281600000001</v>
      </c>
      <c r="M34" s="27">
        <f t="shared" si="4"/>
        <v>596.42281600000001</v>
      </c>
      <c r="N34" s="27">
        <f t="shared" si="4"/>
        <v>596.42281600000001</v>
      </c>
      <c r="O34" s="27">
        <f t="shared" si="4"/>
        <v>739.10313599999995</v>
      </c>
    </row>
    <row r="35" spans="1:16" ht="15" x14ac:dyDescent="0.25">
      <c r="A35" s="20" t="s">
        <v>36</v>
      </c>
      <c r="B35" s="12" t="s">
        <v>44</v>
      </c>
      <c r="C35" s="12"/>
      <c r="D35" s="22">
        <f>VLOOKUP(D28,Tarifas!$B$20:$D$33,3)</f>
        <v>0</v>
      </c>
      <c r="E35" s="22">
        <f>VLOOKUP(E28,Tarifas!$B$20:$D$33,3)</f>
        <v>0</v>
      </c>
      <c r="F35" s="22">
        <f>VLOOKUP(F28,Tarifas!$B$20:$D$33,3)</f>
        <v>0</v>
      </c>
      <c r="G35" s="22">
        <f>VLOOKUP(G28,Tarifas!$B$20:$D$33,3)</f>
        <v>0</v>
      </c>
      <c r="H35" s="22">
        <f>VLOOKUP(H28,Tarifas!$B$20:$D$33,3)</f>
        <v>0</v>
      </c>
      <c r="I35" s="22">
        <f>VLOOKUP(I28,Tarifas!$B$20:$D$33,3)</f>
        <v>0</v>
      </c>
      <c r="J35" s="22">
        <f>VLOOKUP(J28,Tarifas!$B$20:$D$33,3)</f>
        <v>0</v>
      </c>
      <c r="K35" s="22">
        <f>VLOOKUP(K28,Tarifas!$B$20:$D$33,3)</f>
        <v>0</v>
      </c>
      <c r="L35" s="22">
        <f>VLOOKUP(L28,Tarifas!$B$20:$D$33,3)</f>
        <v>0</v>
      </c>
      <c r="M35" s="22">
        <f>VLOOKUP(M28,Tarifas!$B$20:$D$33,3)</f>
        <v>0</v>
      </c>
      <c r="N35" s="22">
        <f>VLOOKUP(N28,Tarifas!$B$20:$D$33,3)</f>
        <v>0</v>
      </c>
      <c r="O35" s="22">
        <f>VLOOKUP(O28,Tarifas!$B$20:$D$33,3)</f>
        <v>0</v>
      </c>
      <c r="P35" s="31">
        <f>SUM(D35:O35)</f>
        <v>0</v>
      </c>
    </row>
    <row r="36" spans="1:16" ht="15" x14ac:dyDescent="0.25">
      <c r="A36" s="20" t="s">
        <v>37</v>
      </c>
      <c r="B36" s="12" t="s">
        <v>45</v>
      </c>
      <c r="C36" s="12"/>
      <c r="D36" s="24">
        <f>+D34-D35</f>
        <v>596.42281600000001</v>
      </c>
      <c r="E36" s="24">
        <f t="shared" ref="E36:O36" si="5">+E34-E35</f>
        <v>596.42281600000001</v>
      </c>
      <c r="F36" s="24">
        <f t="shared" si="5"/>
        <v>596.42281600000001</v>
      </c>
      <c r="G36" s="24">
        <f t="shared" si="5"/>
        <v>596.42281600000001</v>
      </c>
      <c r="H36" s="24">
        <f t="shared" si="5"/>
        <v>596.42281600000001</v>
      </c>
      <c r="I36" s="24">
        <f t="shared" si="5"/>
        <v>596.42281600000001</v>
      </c>
      <c r="J36" s="24">
        <f t="shared" si="5"/>
        <v>596.42281600000001</v>
      </c>
      <c r="K36" s="24">
        <f t="shared" si="5"/>
        <v>596.42281600000001</v>
      </c>
      <c r="L36" s="24">
        <f t="shared" si="5"/>
        <v>596.42281600000001</v>
      </c>
      <c r="M36" s="24">
        <f t="shared" si="5"/>
        <v>596.42281600000001</v>
      </c>
      <c r="N36" s="24">
        <f t="shared" si="5"/>
        <v>596.42281600000001</v>
      </c>
      <c r="O36" s="24">
        <f t="shared" si="5"/>
        <v>739.10313599999995</v>
      </c>
      <c r="P36" s="110">
        <f>SUM(D36:O36)</f>
        <v>7299.7541120000014</v>
      </c>
    </row>
    <row r="39" spans="1:16" ht="15" x14ac:dyDescent="0.25">
      <c r="B39" s="29" t="s">
        <v>63</v>
      </c>
    </row>
    <row r="40" spans="1:16" ht="15" x14ac:dyDescent="0.25">
      <c r="B40" s="14"/>
      <c r="C40" s="14"/>
      <c r="D40" s="14"/>
      <c r="E40" s="27"/>
    </row>
    <row r="42" spans="1:16" ht="15" x14ac:dyDescent="0.25">
      <c r="B42" s="183" t="s">
        <v>53</v>
      </c>
      <c r="C42" s="183"/>
      <c r="D42" s="183"/>
      <c r="E42" s="87" t="s">
        <v>48</v>
      </c>
    </row>
    <row r="43" spans="1:16" x14ac:dyDescent="0.2">
      <c r="B43" s="12" t="s">
        <v>54</v>
      </c>
      <c r="C43" s="12"/>
      <c r="D43" s="12"/>
      <c r="E43" s="16">
        <f>E22*(6*0.25)</f>
        <v>400</v>
      </c>
      <c r="F43" s="28" t="s">
        <v>253</v>
      </c>
    </row>
    <row r="44" spans="1:16" x14ac:dyDescent="0.2">
      <c r="B44" s="12" t="s">
        <v>50</v>
      </c>
      <c r="C44" s="12"/>
      <c r="D44" s="12"/>
      <c r="E44" s="16">
        <f>+G16</f>
        <v>89.62</v>
      </c>
    </row>
    <row r="45" spans="1:16" ht="15" x14ac:dyDescent="0.25">
      <c r="B45" s="12" t="s">
        <v>55</v>
      </c>
      <c r="C45" s="12"/>
      <c r="D45" s="12"/>
      <c r="E45" s="22">
        <f>IF(E43&gt;(E44*30),E44*15,E43)</f>
        <v>400</v>
      </c>
      <c r="F45" s="28" t="s">
        <v>351</v>
      </c>
      <c r="G45" s="28"/>
      <c r="H45" s="89" t="s">
        <v>229</v>
      </c>
    </row>
    <row r="46" spans="1:16" ht="15" x14ac:dyDescent="0.25">
      <c r="B46" s="14" t="s">
        <v>56</v>
      </c>
      <c r="C46" s="14"/>
      <c r="D46" s="14"/>
      <c r="E46" s="27">
        <f>+E43-E45</f>
        <v>0</v>
      </c>
    </row>
    <row r="49" spans="1:18" ht="15" x14ac:dyDescent="0.25">
      <c r="B49" s="183" t="s">
        <v>57</v>
      </c>
      <c r="C49" s="183"/>
      <c r="D49" s="183"/>
      <c r="E49" s="87" t="s">
        <v>48</v>
      </c>
    </row>
    <row r="50" spans="1:18" x14ac:dyDescent="0.2">
      <c r="B50" s="12" t="s">
        <v>58</v>
      </c>
      <c r="C50" s="12"/>
      <c r="D50" s="12"/>
      <c r="E50" s="16">
        <f>+E22*15</f>
        <v>4000.0000000000005</v>
      </c>
      <c r="F50" s="28" t="s">
        <v>254</v>
      </c>
    </row>
    <row r="51" spans="1:18" x14ac:dyDescent="0.2">
      <c r="B51" s="12" t="s">
        <v>50</v>
      </c>
      <c r="C51" s="12"/>
      <c r="D51" s="12"/>
      <c r="E51" s="16">
        <f>+G16</f>
        <v>89.62</v>
      </c>
    </row>
    <row r="52" spans="1:18" ht="15" x14ac:dyDescent="0.25">
      <c r="B52" s="12" t="s">
        <v>59</v>
      </c>
      <c r="C52" s="12"/>
      <c r="D52" s="12"/>
      <c r="E52" s="22">
        <f>IF(E50&gt;(E51*30),E51*30,E50)</f>
        <v>2688.6000000000004</v>
      </c>
      <c r="F52" s="28" t="s">
        <v>350</v>
      </c>
      <c r="H52" s="89" t="s">
        <v>230</v>
      </c>
    </row>
    <row r="53" spans="1:18" ht="15" x14ac:dyDescent="0.25">
      <c r="B53" s="14" t="s">
        <v>60</v>
      </c>
      <c r="C53" s="12"/>
      <c r="D53" s="12"/>
      <c r="E53" s="40">
        <f>+E50-E52</f>
        <v>1311.4</v>
      </c>
    </row>
    <row r="56" spans="1:18" x14ac:dyDescent="0.2">
      <c r="A56" s="91"/>
      <c r="B56" s="91"/>
      <c r="C56" s="91"/>
      <c r="D56" s="91"/>
      <c r="E56" s="91"/>
      <c r="F56" s="91"/>
      <c r="G56" s="91"/>
      <c r="H56" s="91"/>
      <c r="I56" s="91"/>
      <c r="J56" s="91"/>
      <c r="K56" s="91"/>
      <c r="L56" s="91"/>
      <c r="M56" s="91"/>
      <c r="N56" s="91"/>
      <c r="O56" s="91"/>
      <c r="P56" s="91"/>
      <c r="Q56" s="91"/>
    </row>
    <row r="58" spans="1:18" ht="15" x14ac:dyDescent="0.25">
      <c r="B58" s="29" t="s">
        <v>298</v>
      </c>
      <c r="H58" s="29" t="s">
        <v>344</v>
      </c>
    </row>
    <row r="59" spans="1:18" x14ac:dyDescent="0.2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</row>
    <row r="60" spans="1:18" ht="15" x14ac:dyDescent="0.25">
      <c r="A60" s="183" t="s">
        <v>81</v>
      </c>
      <c r="B60" s="183"/>
      <c r="C60" s="183"/>
      <c r="D60" s="183"/>
      <c r="E60" s="87"/>
      <c r="F60" s="87" t="s">
        <v>12</v>
      </c>
      <c r="G60" s="87" t="s">
        <v>16</v>
      </c>
      <c r="H60" s="87" t="s">
        <v>20</v>
      </c>
      <c r="I60" s="87" t="s">
        <v>13</v>
      </c>
      <c r="J60" s="87" t="s">
        <v>17</v>
      </c>
      <c r="K60" s="87" t="s">
        <v>21</v>
      </c>
      <c r="L60" s="87" t="s">
        <v>14</v>
      </c>
      <c r="M60" s="87" t="s">
        <v>18</v>
      </c>
      <c r="N60" s="87" t="s">
        <v>22</v>
      </c>
      <c r="O60" s="87" t="s">
        <v>15</v>
      </c>
      <c r="P60" s="87" t="s">
        <v>19</v>
      </c>
      <c r="Q60" s="87" t="s">
        <v>23</v>
      </c>
      <c r="R60" s="87" t="s">
        <v>126</v>
      </c>
    </row>
    <row r="61" spans="1:18" ht="15" x14ac:dyDescent="0.25">
      <c r="A61" s="12"/>
      <c r="B61" s="12" t="s">
        <v>127</v>
      </c>
      <c r="C61" s="12"/>
      <c r="D61" s="12"/>
      <c r="E61" s="12"/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0</v>
      </c>
      <c r="O61" s="13">
        <v>0</v>
      </c>
      <c r="P61" s="13">
        <v>0</v>
      </c>
      <c r="Q61" s="13">
        <v>0</v>
      </c>
      <c r="R61" s="15">
        <f>SUM(F61:Q61)</f>
        <v>0</v>
      </c>
    </row>
    <row r="62" spans="1:18" ht="15" x14ac:dyDescent="0.25">
      <c r="A62" s="20" t="s">
        <v>42</v>
      </c>
      <c r="B62" s="12" t="s">
        <v>128</v>
      </c>
      <c r="C62" s="12"/>
      <c r="D62" s="12"/>
      <c r="E62" s="12"/>
      <c r="F62" s="13">
        <v>12500</v>
      </c>
      <c r="G62" s="13">
        <v>8900</v>
      </c>
      <c r="H62" s="13">
        <v>13600</v>
      </c>
      <c r="I62" s="13">
        <v>20000</v>
      </c>
      <c r="J62" s="13">
        <v>8965</v>
      </c>
      <c r="K62" s="13">
        <v>7500</v>
      </c>
      <c r="L62" s="13">
        <v>6200</v>
      </c>
      <c r="M62" s="13">
        <v>15000</v>
      </c>
      <c r="N62" s="13">
        <v>18000</v>
      </c>
      <c r="O62" s="13">
        <v>20000</v>
      </c>
      <c r="P62" s="13">
        <v>35000</v>
      </c>
      <c r="Q62" s="13">
        <v>25000</v>
      </c>
      <c r="R62" s="15">
        <f t="shared" ref="R62:R63" si="6">SUM(F62:Q62)</f>
        <v>190665</v>
      </c>
    </row>
    <row r="63" spans="1:18" ht="15" x14ac:dyDescent="0.25">
      <c r="A63" s="26" t="s">
        <v>37</v>
      </c>
      <c r="B63" s="14" t="s">
        <v>129</v>
      </c>
      <c r="C63" s="12"/>
      <c r="D63" s="12"/>
      <c r="E63" s="12"/>
      <c r="F63" s="15">
        <f t="shared" ref="F63:Q63" si="7">SUM(F61:F62)</f>
        <v>12500</v>
      </c>
      <c r="G63" s="15">
        <f t="shared" si="7"/>
        <v>8900</v>
      </c>
      <c r="H63" s="15">
        <f t="shared" si="7"/>
        <v>13600</v>
      </c>
      <c r="I63" s="15">
        <f t="shared" si="7"/>
        <v>20000</v>
      </c>
      <c r="J63" s="15">
        <f t="shared" si="7"/>
        <v>8965</v>
      </c>
      <c r="K63" s="15">
        <f t="shared" si="7"/>
        <v>7500</v>
      </c>
      <c r="L63" s="15">
        <f t="shared" si="7"/>
        <v>6200</v>
      </c>
      <c r="M63" s="15">
        <f t="shared" si="7"/>
        <v>15000</v>
      </c>
      <c r="N63" s="15">
        <f t="shared" si="7"/>
        <v>18000</v>
      </c>
      <c r="O63" s="15">
        <f t="shared" si="7"/>
        <v>20000</v>
      </c>
      <c r="P63" s="15">
        <f t="shared" si="7"/>
        <v>35000</v>
      </c>
      <c r="Q63" s="15">
        <f t="shared" si="7"/>
        <v>25000</v>
      </c>
      <c r="R63" s="15">
        <f t="shared" si="6"/>
        <v>190665</v>
      </c>
    </row>
    <row r="64" spans="1:18" x14ac:dyDescent="0.2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</row>
    <row r="65" spans="1:18" ht="15" x14ac:dyDescent="0.25">
      <c r="A65" s="12"/>
      <c r="B65" s="29" t="s">
        <v>299</v>
      </c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</row>
    <row r="66" spans="1:18" ht="15" x14ac:dyDescent="0.25">
      <c r="A66" s="183" t="s">
        <v>81</v>
      </c>
      <c r="B66" s="183"/>
      <c r="C66" s="183"/>
      <c r="D66" s="183"/>
      <c r="E66" s="87"/>
      <c r="F66" s="87" t="s">
        <v>12</v>
      </c>
      <c r="G66" s="87" t="s">
        <v>16</v>
      </c>
      <c r="H66" s="87" t="s">
        <v>20</v>
      </c>
      <c r="I66" s="87" t="s">
        <v>13</v>
      </c>
      <c r="J66" s="87" t="s">
        <v>17</v>
      </c>
      <c r="K66" s="87" t="s">
        <v>21</v>
      </c>
      <c r="L66" s="87" t="s">
        <v>14</v>
      </c>
      <c r="M66" s="87" t="s">
        <v>18</v>
      </c>
      <c r="N66" s="87" t="s">
        <v>22</v>
      </c>
      <c r="O66" s="87" t="s">
        <v>15</v>
      </c>
      <c r="P66" s="87" t="s">
        <v>19</v>
      </c>
      <c r="Q66" s="87" t="s">
        <v>23</v>
      </c>
      <c r="R66" s="87" t="s">
        <v>126</v>
      </c>
    </row>
    <row r="67" spans="1:18" ht="15" x14ac:dyDescent="0.25">
      <c r="A67" s="12"/>
      <c r="B67" s="12" t="s">
        <v>130</v>
      </c>
      <c r="C67" s="12"/>
      <c r="D67" s="12"/>
      <c r="E67" s="12"/>
      <c r="F67" s="13">
        <f>+F63</f>
        <v>12500</v>
      </c>
      <c r="G67" s="13">
        <f>+G63</f>
        <v>8900</v>
      </c>
      <c r="H67" s="13">
        <f t="shared" ref="H67:Q67" si="8">+H63</f>
        <v>13600</v>
      </c>
      <c r="I67" s="13">
        <f t="shared" si="8"/>
        <v>20000</v>
      </c>
      <c r="J67" s="13">
        <f t="shared" si="8"/>
        <v>8965</v>
      </c>
      <c r="K67" s="13">
        <f t="shared" si="8"/>
        <v>7500</v>
      </c>
      <c r="L67" s="13">
        <f t="shared" si="8"/>
        <v>6200</v>
      </c>
      <c r="M67" s="13">
        <f t="shared" si="8"/>
        <v>15000</v>
      </c>
      <c r="N67" s="13">
        <f t="shared" si="8"/>
        <v>18000</v>
      </c>
      <c r="O67" s="13">
        <f t="shared" si="8"/>
        <v>20000</v>
      </c>
      <c r="P67" s="13">
        <f t="shared" si="8"/>
        <v>35000</v>
      </c>
      <c r="Q67" s="13">
        <f t="shared" si="8"/>
        <v>25000</v>
      </c>
      <c r="R67" s="15">
        <f>SUM(F67:Q67)</f>
        <v>190665</v>
      </c>
    </row>
    <row r="68" spans="1:18" x14ac:dyDescent="0.2">
      <c r="A68" s="20" t="s">
        <v>42</v>
      </c>
      <c r="B68" s="12" t="s">
        <v>131</v>
      </c>
      <c r="C68" s="12"/>
      <c r="D68" s="12"/>
      <c r="E68" s="12"/>
      <c r="F68" s="13">
        <v>0</v>
      </c>
      <c r="G68" s="13">
        <f>+F69</f>
        <v>12500</v>
      </c>
      <c r="H68" s="13">
        <f t="shared" ref="H68:Q68" si="9">+G69</f>
        <v>21400</v>
      </c>
      <c r="I68" s="13">
        <f t="shared" si="9"/>
        <v>35000</v>
      </c>
      <c r="J68" s="13">
        <f t="shared" si="9"/>
        <v>55000</v>
      </c>
      <c r="K68" s="13">
        <f t="shared" si="9"/>
        <v>63965</v>
      </c>
      <c r="L68" s="13">
        <f t="shared" si="9"/>
        <v>71465</v>
      </c>
      <c r="M68" s="13">
        <f t="shared" si="9"/>
        <v>77665</v>
      </c>
      <c r="N68" s="13">
        <f t="shared" si="9"/>
        <v>92665</v>
      </c>
      <c r="O68" s="13">
        <f t="shared" si="9"/>
        <v>110665</v>
      </c>
      <c r="P68" s="13">
        <f t="shared" si="9"/>
        <v>130665</v>
      </c>
      <c r="Q68" s="13">
        <f t="shared" si="9"/>
        <v>165665</v>
      </c>
      <c r="R68" s="13"/>
    </row>
    <row r="69" spans="1:18" ht="15" x14ac:dyDescent="0.25">
      <c r="A69" s="26" t="s">
        <v>37</v>
      </c>
      <c r="B69" s="14" t="s">
        <v>129</v>
      </c>
      <c r="C69" s="12"/>
      <c r="D69" s="12"/>
      <c r="E69" s="12"/>
      <c r="F69" s="15">
        <f t="shared" ref="F69:Q69" si="10">SUM(F67:F68)</f>
        <v>12500</v>
      </c>
      <c r="G69" s="15">
        <f t="shared" si="10"/>
        <v>21400</v>
      </c>
      <c r="H69" s="15">
        <f t="shared" si="10"/>
        <v>35000</v>
      </c>
      <c r="I69" s="15">
        <f t="shared" si="10"/>
        <v>55000</v>
      </c>
      <c r="J69" s="15">
        <f t="shared" si="10"/>
        <v>63965</v>
      </c>
      <c r="K69" s="15">
        <f t="shared" si="10"/>
        <v>71465</v>
      </c>
      <c r="L69" s="15">
        <f t="shared" si="10"/>
        <v>77665</v>
      </c>
      <c r="M69" s="15">
        <f t="shared" si="10"/>
        <v>92665</v>
      </c>
      <c r="N69" s="15">
        <f t="shared" si="10"/>
        <v>110665</v>
      </c>
      <c r="O69" s="15">
        <f t="shared" si="10"/>
        <v>130665</v>
      </c>
      <c r="P69" s="15">
        <f t="shared" si="10"/>
        <v>165665</v>
      </c>
      <c r="Q69" s="15">
        <f t="shared" si="10"/>
        <v>190665</v>
      </c>
      <c r="R69" s="13"/>
    </row>
    <row r="70" spans="1:18" x14ac:dyDescent="0.2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</row>
    <row r="71" spans="1:18" ht="15" x14ac:dyDescent="0.25">
      <c r="A71" s="12"/>
      <c r="B71" s="12" t="s">
        <v>132</v>
      </c>
      <c r="C71" s="12"/>
      <c r="D71" s="12"/>
      <c r="E71" s="12"/>
      <c r="F71" s="13">
        <v>6000</v>
      </c>
      <c r="G71" s="13">
        <v>8900</v>
      </c>
      <c r="H71" s="13">
        <v>12000</v>
      </c>
      <c r="I71" s="13">
        <v>10002</v>
      </c>
      <c r="J71" s="13">
        <v>7375</v>
      </c>
      <c r="K71" s="13">
        <v>6890</v>
      </c>
      <c r="L71" s="13">
        <v>9800</v>
      </c>
      <c r="M71" s="13">
        <v>13000</v>
      </c>
      <c r="N71" s="13">
        <v>17900</v>
      </c>
      <c r="O71" s="13">
        <v>16000</v>
      </c>
      <c r="P71" s="13">
        <v>21000</v>
      </c>
      <c r="Q71" s="13">
        <v>8000</v>
      </c>
      <c r="R71" s="15">
        <f>SUM(F71:Q71)</f>
        <v>136867</v>
      </c>
    </row>
    <row r="72" spans="1:18" x14ac:dyDescent="0.2">
      <c r="A72" s="20" t="s">
        <v>42</v>
      </c>
      <c r="B72" s="12" t="s">
        <v>133</v>
      </c>
      <c r="C72" s="12"/>
      <c r="D72" s="12"/>
      <c r="E72" s="12"/>
      <c r="F72" s="13">
        <v>0</v>
      </c>
      <c r="G72" s="13">
        <f>+F73</f>
        <v>6000</v>
      </c>
      <c r="H72" s="13">
        <f t="shared" ref="H72:Q72" si="11">+G73</f>
        <v>14900</v>
      </c>
      <c r="I72" s="13">
        <f t="shared" si="11"/>
        <v>26900</v>
      </c>
      <c r="J72" s="13">
        <f t="shared" si="11"/>
        <v>36902</v>
      </c>
      <c r="K72" s="13">
        <f t="shared" si="11"/>
        <v>44277</v>
      </c>
      <c r="L72" s="13">
        <f t="shared" si="11"/>
        <v>51167</v>
      </c>
      <c r="M72" s="13">
        <f t="shared" si="11"/>
        <v>60967</v>
      </c>
      <c r="N72" s="13">
        <f t="shared" si="11"/>
        <v>73967</v>
      </c>
      <c r="O72" s="13">
        <f t="shared" si="11"/>
        <v>91867</v>
      </c>
      <c r="P72" s="13">
        <f t="shared" si="11"/>
        <v>107867</v>
      </c>
      <c r="Q72" s="13">
        <f t="shared" si="11"/>
        <v>128867</v>
      </c>
      <c r="R72" s="12"/>
    </row>
    <row r="73" spans="1:18" ht="15" x14ac:dyDescent="0.25">
      <c r="A73" s="26" t="s">
        <v>37</v>
      </c>
      <c r="B73" s="14" t="s">
        <v>134</v>
      </c>
      <c r="C73" s="14"/>
      <c r="D73" s="12"/>
      <c r="E73" s="12"/>
      <c r="F73" s="15">
        <f t="shared" ref="F73:Q73" si="12">SUM(F71:F72)</f>
        <v>6000</v>
      </c>
      <c r="G73" s="15">
        <f t="shared" si="12"/>
        <v>14900</v>
      </c>
      <c r="H73" s="15">
        <f t="shared" si="12"/>
        <v>26900</v>
      </c>
      <c r="I73" s="15">
        <f t="shared" si="12"/>
        <v>36902</v>
      </c>
      <c r="J73" s="15">
        <f t="shared" si="12"/>
        <v>44277</v>
      </c>
      <c r="K73" s="15">
        <f t="shared" si="12"/>
        <v>51167</v>
      </c>
      <c r="L73" s="15">
        <f t="shared" si="12"/>
        <v>60967</v>
      </c>
      <c r="M73" s="15">
        <f t="shared" si="12"/>
        <v>73967</v>
      </c>
      <c r="N73" s="15">
        <f t="shared" si="12"/>
        <v>91867</v>
      </c>
      <c r="O73" s="15">
        <f t="shared" si="12"/>
        <v>107867</v>
      </c>
      <c r="P73" s="15">
        <f t="shared" si="12"/>
        <v>128867</v>
      </c>
      <c r="Q73" s="15">
        <f t="shared" si="12"/>
        <v>136867</v>
      </c>
      <c r="R73" s="12"/>
    </row>
    <row r="74" spans="1:18" x14ac:dyDescent="0.2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</row>
    <row r="75" spans="1:18" ht="15" x14ac:dyDescent="0.25">
      <c r="A75" s="12"/>
      <c r="B75" s="12" t="s">
        <v>135</v>
      </c>
      <c r="C75" s="12"/>
      <c r="D75" s="12"/>
      <c r="E75" s="12"/>
      <c r="F75" s="13">
        <f>+F67*0.1</f>
        <v>1250</v>
      </c>
      <c r="G75" s="13">
        <f t="shared" ref="G75:Q75" si="13">+G67*0.1</f>
        <v>890</v>
      </c>
      <c r="H75" s="13">
        <f t="shared" si="13"/>
        <v>1360</v>
      </c>
      <c r="I75" s="13">
        <f t="shared" si="13"/>
        <v>2000</v>
      </c>
      <c r="J75" s="13">
        <f t="shared" si="13"/>
        <v>896.5</v>
      </c>
      <c r="K75" s="13">
        <f t="shared" si="13"/>
        <v>750</v>
      </c>
      <c r="L75" s="13">
        <f t="shared" si="13"/>
        <v>620</v>
      </c>
      <c r="M75" s="13">
        <f t="shared" si="13"/>
        <v>1500</v>
      </c>
      <c r="N75" s="13">
        <f t="shared" si="13"/>
        <v>1800</v>
      </c>
      <c r="O75" s="13">
        <f t="shared" si="13"/>
        <v>2000</v>
      </c>
      <c r="P75" s="13">
        <f t="shared" si="13"/>
        <v>3500</v>
      </c>
      <c r="Q75" s="13">
        <f t="shared" si="13"/>
        <v>2500</v>
      </c>
      <c r="R75" s="15">
        <f>SUM(F75:Q75)</f>
        <v>19066.5</v>
      </c>
    </row>
    <row r="76" spans="1:18" x14ac:dyDescent="0.2">
      <c r="A76" s="20" t="s">
        <v>42</v>
      </c>
      <c r="B76" s="12" t="s">
        <v>136</v>
      </c>
      <c r="C76" s="12"/>
      <c r="D76" s="12"/>
      <c r="E76" s="12"/>
      <c r="F76" s="13">
        <v>0</v>
      </c>
      <c r="G76" s="13">
        <f>+F77</f>
        <v>1250</v>
      </c>
      <c r="H76" s="13">
        <f t="shared" ref="H76:Q76" si="14">+G77</f>
        <v>2140</v>
      </c>
      <c r="I76" s="13">
        <f t="shared" si="14"/>
        <v>3500</v>
      </c>
      <c r="J76" s="13">
        <f t="shared" si="14"/>
        <v>5500</v>
      </c>
      <c r="K76" s="13">
        <f t="shared" si="14"/>
        <v>6396.5</v>
      </c>
      <c r="L76" s="13">
        <f t="shared" si="14"/>
        <v>7146.5</v>
      </c>
      <c r="M76" s="13">
        <f t="shared" si="14"/>
        <v>7766.5</v>
      </c>
      <c r="N76" s="13">
        <f t="shared" si="14"/>
        <v>9266.5</v>
      </c>
      <c r="O76" s="13">
        <f t="shared" si="14"/>
        <v>11066.5</v>
      </c>
      <c r="P76" s="13">
        <f t="shared" si="14"/>
        <v>13066.5</v>
      </c>
      <c r="Q76" s="13">
        <f t="shared" si="14"/>
        <v>16566.5</v>
      </c>
      <c r="R76" s="12"/>
    </row>
    <row r="77" spans="1:18" ht="15" x14ac:dyDescent="0.25">
      <c r="A77" s="26" t="s">
        <v>37</v>
      </c>
      <c r="B77" s="14" t="s">
        <v>137</v>
      </c>
      <c r="C77" s="12"/>
      <c r="D77" s="12"/>
      <c r="E77" s="12"/>
      <c r="F77" s="15">
        <f>SUM(F75:F76)</f>
        <v>1250</v>
      </c>
      <c r="G77" s="15">
        <f t="shared" ref="G77:Q77" si="15">SUM(G75:G76)</f>
        <v>2140</v>
      </c>
      <c r="H77" s="15">
        <f t="shared" si="15"/>
        <v>3500</v>
      </c>
      <c r="I77" s="15">
        <f t="shared" si="15"/>
        <v>5500</v>
      </c>
      <c r="J77" s="15">
        <f t="shared" si="15"/>
        <v>6396.5</v>
      </c>
      <c r="K77" s="15">
        <f t="shared" si="15"/>
        <v>7146.5</v>
      </c>
      <c r="L77" s="15">
        <f t="shared" si="15"/>
        <v>7766.5</v>
      </c>
      <c r="M77" s="15">
        <f t="shared" si="15"/>
        <v>9266.5</v>
      </c>
      <c r="N77" s="15">
        <f t="shared" si="15"/>
        <v>11066.5</v>
      </c>
      <c r="O77" s="15">
        <f t="shared" si="15"/>
        <v>13066.5</v>
      </c>
      <c r="P77" s="15">
        <f t="shared" si="15"/>
        <v>16566.5</v>
      </c>
      <c r="Q77" s="15">
        <f t="shared" si="15"/>
        <v>19066.5</v>
      </c>
      <c r="R77" s="12"/>
    </row>
    <row r="78" spans="1:18" x14ac:dyDescent="0.2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</row>
    <row r="79" spans="1:18" ht="15" x14ac:dyDescent="0.25">
      <c r="A79" s="12"/>
      <c r="B79" s="14" t="s">
        <v>138</v>
      </c>
      <c r="C79" s="14"/>
      <c r="D79" s="14"/>
      <c r="E79" s="14"/>
      <c r="F79" s="27">
        <f>+F69-F73</f>
        <v>6500</v>
      </c>
      <c r="G79" s="27">
        <f t="shared" ref="G79:Q79" si="16">+G69-G73</f>
        <v>6500</v>
      </c>
      <c r="H79" s="27">
        <f t="shared" si="16"/>
        <v>8100</v>
      </c>
      <c r="I79" s="27">
        <f t="shared" si="16"/>
        <v>18098</v>
      </c>
      <c r="J79" s="27">
        <f t="shared" si="16"/>
        <v>19688</v>
      </c>
      <c r="K79" s="27">
        <f t="shared" si="16"/>
        <v>20298</v>
      </c>
      <c r="L79" s="27">
        <f t="shared" si="16"/>
        <v>16698</v>
      </c>
      <c r="M79" s="27">
        <f t="shared" si="16"/>
        <v>18698</v>
      </c>
      <c r="N79" s="27">
        <f t="shared" si="16"/>
        <v>18798</v>
      </c>
      <c r="O79" s="27">
        <f t="shared" si="16"/>
        <v>22798</v>
      </c>
      <c r="P79" s="27">
        <f t="shared" si="16"/>
        <v>36798</v>
      </c>
      <c r="Q79" s="27">
        <f t="shared" si="16"/>
        <v>53798</v>
      </c>
      <c r="R79" s="12"/>
    </row>
    <row r="80" spans="1:18" x14ac:dyDescent="0.2">
      <c r="A80" s="20" t="s">
        <v>36</v>
      </c>
      <c r="B80" s="12" t="s">
        <v>139</v>
      </c>
      <c r="C80" s="12"/>
      <c r="D80" s="12"/>
      <c r="E80" s="12"/>
      <c r="F80" s="16">
        <v>0</v>
      </c>
      <c r="G80" s="16">
        <v>0</v>
      </c>
      <c r="H80" s="16">
        <v>0</v>
      </c>
      <c r="I80" s="16">
        <v>0</v>
      </c>
      <c r="J80" s="16">
        <v>0</v>
      </c>
      <c r="K80" s="16">
        <v>0</v>
      </c>
      <c r="L80" s="16">
        <v>0</v>
      </c>
      <c r="M80" s="16">
        <v>0</v>
      </c>
      <c r="N80" s="16">
        <v>0</v>
      </c>
      <c r="O80" s="16">
        <v>0</v>
      </c>
      <c r="P80" s="16">
        <v>0</v>
      </c>
      <c r="Q80" s="16">
        <v>0</v>
      </c>
      <c r="R80" s="12"/>
    </row>
    <row r="81" spans="1:18" x14ac:dyDescent="0.2">
      <c r="A81" s="20" t="s">
        <v>36</v>
      </c>
      <c r="B81" s="12" t="s">
        <v>140</v>
      </c>
      <c r="C81" s="12"/>
      <c r="D81" s="12"/>
      <c r="E81" s="12"/>
      <c r="F81" s="16">
        <v>0</v>
      </c>
      <c r="G81" s="16">
        <v>0</v>
      </c>
      <c r="H81" s="16">
        <v>0</v>
      </c>
      <c r="I81" s="16">
        <v>0</v>
      </c>
      <c r="J81" s="16">
        <v>0</v>
      </c>
      <c r="K81" s="16">
        <v>0</v>
      </c>
      <c r="L81" s="16">
        <v>0</v>
      </c>
      <c r="M81" s="16">
        <v>0</v>
      </c>
      <c r="N81" s="16">
        <v>0</v>
      </c>
      <c r="O81" s="16">
        <v>0</v>
      </c>
      <c r="P81" s="16">
        <v>0</v>
      </c>
      <c r="Q81" s="16">
        <v>0</v>
      </c>
      <c r="R81" s="12"/>
    </row>
    <row r="82" spans="1:18" ht="15" x14ac:dyDescent="0.25">
      <c r="A82" s="26" t="s">
        <v>37</v>
      </c>
      <c r="B82" s="14" t="s">
        <v>141</v>
      </c>
      <c r="C82" s="12"/>
      <c r="D82" s="12"/>
      <c r="E82" s="12"/>
      <c r="F82" s="27">
        <f>+F79-F80-F81</f>
        <v>6500</v>
      </c>
      <c r="G82" s="27">
        <f t="shared" ref="G82:Q82" si="17">+G79-G80-G81</f>
        <v>6500</v>
      </c>
      <c r="H82" s="27">
        <f t="shared" si="17"/>
        <v>8100</v>
      </c>
      <c r="I82" s="27">
        <f t="shared" si="17"/>
        <v>18098</v>
      </c>
      <c r="J82" s="27">
        <f t="shared" si="17"/>
        <v>19688</v>
      </c>
      <c r="K82" s="27">
        <f t="shared" si="17"/>
        <v>20298</v>
      </c>
      <c r="L82" s="27">
        <f t="shared" si="17"/>
        <v>16698</v>
      </c>
      <c r="M82" s="27">
        <f t="shared" si="17"/>
        <v>18698</v>
      </c>
      <c r="N82" s="27">
        <f t="shared" si="17"/>
        <v>18798</v>
      </c>
      <c r="O82" s="27">
        <f t="shared" si="17"/>
        <v>22798</v>
      </c>
      <c r="P82" s="27">
        <f t="shared" si="17"/>
        <v>36798</v>
      </c>
      <c r="Q82" s="27">
        <f t="shared" si="17"/>
        <v>53798</v>
      </c>
      <c r="R82" s="12"/>
    </row>
    <row r="83" spans="1:18" x14ac:dyDescent="0.2">
      <c r="A83" s="20" t="s">
        <v>36</v>
      </c>
      <c r="B83" s="12" t="s">
        <v>1</v>
      </c>
      <c r="C83" s="12"/>
      <c r="D83" s="12"/>
      <c r="E83" s="12"/>
      <c r="F83" s="22">
        <f>VLOOKUP(F82,Tarifas!B39:E52,1)</f>
        <v>5470.93</v>
      </c>
      <c r="G83" s="22">
        <f>VLOOKUP(G82,Tarifas!B56:E69,1)</f>
        <v>1289.17</v>
      </c>
      <c r="H83" s="22">
        <f>VLOOKUP(H82,Tarifas!B73:E86,1)</f>
        <v>1933.75</v>
      </c>
      <c r="I83" s="22">
        <f>VLOOKUP(I82,Tarifas!H39:K52,1)</f>
        <v>2578.33</v>
      </c>
      <c r="J83" s="22">
        <f>VLOOKUP(J82,Tarifas!H56:K69,1)</f>
        <v>3222.91</v>
      </c>
      <c r="K83" s="22">
        <f>VLOOKUP(K82,Tarifas!H73:K86,1)</f>
        <v>3867.49</v>
      </c>
      <c r="L83" s="22">
        <f>VLOOKUP(L82,Tarifas!N39:Q52,1)</f>
        <v>4512.07</v>
      </c>
      <c r="M83" s="22">
        <f>VLOOKUP(M82,Tarifas!N56:Q69,1)</f>
        <v>5156.6499999999996</v>
      </c>
      <c r="N83" s="22">
        <f>VLOOKUP(N82,Tarifas!N73:Q86,1)</f>
        <v>5801.23</v>
      </c>
      <c r="O83" s="22">
        <f>VLOOKUP(O82,Tarifas!T39:W52,1)</f>
        <v>6445.81</v>
      </c>
      <c r="P83" s="22">
        <f>VLOOKUP(P82,Tarifas!T56:W69,1)</f>
        <v>7090.39</v>
      </c>
      <c r="Q83" s="22">
        <f>VLOOKUP(Q82,Tarifas!T73:W86,1)</f>
        <v>7735.01</v>
      </c>
      <c r="R83" s="12"/>
    </row>
    <row r="84" spans="1:18" x14ac:dyDescent="0.2">
      <c r="A84" s="20" t="s">
        <v>37</v>
      </c>
      <c r="B84" s="12" t="s">
        <v>38</v>
      </c>
      <c r="C84" s="12"/>
      <c r="D84" s="12"/>
      <c r="E84" s="12"/>
      <c r="F84" s="16">
        <f t="shared" ref="F84:Q84" si="18">+F82-F83</f>
        <v>1029.0699999999997</v>
      </c>
      <c r="G84" s="16">
        <f t="shared" si="18"/>
        <v>5210.83</v>
      </c>
      <c r="H84" s="16">
        <f t="shared" si="18"/>
        <v>6166.25</v>
      </c>
      <c r="I84" s="16">
        <f t="shared" si="18"/>
        <v>15519.67</v>
      </c>
      <c r="J84" s="16">
        <f t="shared" si="18"/>
        <v>16465.09</v>
      </c>
      <c r="K84" s="16">
        <f t="shared" si="18"/>
        <v>16430.510000000002</v>
      </c>
      <c r="L84" s="16">
        <f t="shared" si="18"/>
        <v>12185.93</v>
      </c>
      <c r="M84" s="16">
        <f t="shared" si="18"/>
        <v>13541.35</v>
      </c>
      <c r="N84" s="16">
        <f t="shared" si="18"/>
        <v>12996.77</v>
      </c>
      <c r="O84" s="16">
        <f t="shared" si="18"/>
        <v>16352.189999999999</v>
      </c>
      <c r="P84" s="16">
        <f t="shared" si="18"/>
        <v>29707.61</v>
      </c>
      <c r="Q84" s="16">
        <f t="shared" si="18"/>
        <v>46062.99</v>
      </c>
      <c r="R84" s="12"/>
    </row>
    <row r="85" spans="1:18" x14ac:dyDescent="0.2">
      <c r="A85" s="20" t="s">
        <v>39</v>
      </c>
      <c r="B85" s="12" t="s">
        <v>40</v>
      </c>
      <c r="C85" s="12"/>
      <c r="D85" s="12"/>
      <c r="E85" s="12"/>
      <c r="F85" s="23">
        <f>VLOOKUP(F82,Tarifas!B39:E52,4)/100</f>
        <v>0.10880000000000001</v>
      </c>
      <c r="G85" s="23">
        <f>VLOOKUP(G82,Tarifas!B56:E69,4)/100</f>
        <v>6.4000000000000001E-2</v>
      </c>
      <c r="H85" s="23">
        <f>VLOOKUP(H82,Tarifas!B73:E86,4)/100</f>
        <v>6.4000000000000001E-2</v>
      </c>
      <c r="I85" s="23">
        <f>VLOOKUP(I82,Tarifas!H39:K52,4)/100</f>
        <v>6.4000000000000001E-2</v>
      </c>
      <c r="J85" s="23">
        <f>VLOOKUP(J82,Tarifas!H56:K69,4)/100</f>
        <v>6.4000000000000001E-2</v>
      </c>
      <c r="K85" s="23">
        <f>VLOOKUP(K82,Tarifas!H73:K86,4)/100</f>
        <v>6.4000000000000001E-2</v>
      </c>
      <c r="L85" s="23">
        <f>VLOOKUP(L82,Tarifas!N39:Q52,4)/100</f>
        <v>6.4000000000000001E-2</v>
      </c>
      <c r="M85" s="23">
        <f>VLOOKUP(M82,Tarifas!N56:Q69,4)/100</f>
        <v>6.4000000000000001E-2</v>
      </c>
      <c r="N85" s="23">
        <f>VLOOKUP(N82,Tarifas!N73:Q86,4)/100</f>
        <v>6.4000000000000001E-2</v>
      </c>
      <c r="O85" s="23">
        <f>VLOOKUP(O82,Tarifas!T39:W52,4)/100</f>
        <v>6.4000000000000001E-2</v>
      </c>
      <c r="P85" s="23">
        <f>VLOOKUP(P82,Tarifas!T56:W69,4)/100</f>
        <v>6.4000000000000001E-2</v>
      </c>
      <c r="Q85" s="23">
        <f>VLOOKUP(Q82,Tarifas!T73:W86,4)/100</f>
        <v>6.4000000000000001E-2</v>
      </c>
      <c r="R85" s="12"/>
    </row>
    <row r="86" spans="1:18" x14ac:dyDescent="0.2">
      <c r="A86" s="20" t="s">
        <v>37</v>
      </c>
      <c r="B86" s="12" t="s">
        <v>41</v>
      </c>
      <c r="C86" s="12"/>
      <c r="D86" s="12"/>
      <c r="E86" s="12"/>
      <c r="F86" s="16">
        <f t="shared" ref="F86:Q86" si="19">+F84*F85</f>
        <v>111.96281599999998</v>
      </c>
      <c r="G86" s="16">
        <f t="shared" si="19"/>
        <v>333.49311999999998</v>
      </c>
      <c r="H86" s="16">
        <f t="shared" si="19"/>
        <v>394.64</v>
      </c>
      <c r="I86" s="16">
        <f t="shared" si="19"/>
        <v>993.25887999999998</v>
      </c>
      <c r="J86" s="16">
        <f t="shared" si="19"/>
        <v>1053.76576</v>
      </c>
      <c r="K86" s="16">
        <f t="shared" si="19"/>
        <v>1051.5526400000001</v>
      </c>
      <c r="L86" s="16">
        <f t="shared" si="19"/>
        <v>779.89952000000005</v>
      </c>
      <c r="M86" s="16">
        <f t="shared" si="19"/>
        <v>866.64640000000009</v>
      </c>
      <c r="N86" s="16">
        <f t="shared" si="19"/>
        <v>831.7932800000001</v>
      </c>
      <c r="O86" s="16">
        <f t="shared" si="19"/>
        <v>1046.54016</v>
      </c>
      <c r="P86" s="16">
        <f t="shared" si="19"/>
        <v>1901.2870400000002</v>
      </c>
      <c r="Q86" s="16">
        <f t="shared" si="19"/>
        <v>2948.0313599999999</v>
      </c>
      <c r="R86" s="12"/>
    </row>
    <row r="87" spans="1:18" x14ac:dyDescent="0.2">
      <c r="A87" s="20" t="s">
        <v>42</v>
      </c>
      <c r="B87" s="12" t="s">
        <v>3</v>
      </c>
      <c r="C87" s="12"/>
      <c r="D87" s="12"/>
      <c r="E87" s="12"/>
      <c r="F87" s="22">
        <f>VLOOKUP(F82,Tarifas!B39:E52,3)</f>
        <v>321.26</v>
      </c>
      <c r="G87" s="22">
        <f>VLOOKUP(G82,Tarifas!B56:E69,3)</f>
        <v>24.76</v>
      </c>
      <c r="H87" s="22">
        <f>VLOOKUP(H82,Tarifas!B73:E86,3)</f>
        <v>37.14</v>
      </c>
      <c r="I87" s="22">
        <f>VLOOKUP(I82,Tarifas!H39:K52,3)</f>
        <v>49.52</v>
      </c>
      <c r="J87" s="22">
        <f>VLOOKUP(J82,Tarifas!H56:K69,3)</f>
        <v>61.9</v>
      </c>
      <c r="K87" s="22">
        <f>VLOOKUP(K82,Tarifas!H73:K86,3)</f>
        <v>74.28</v>
      </c>
      <c r="L87" s="22">
        <f>VLOOKUP(L82,Tarifas!N39:Q52,3)</f>
        <v>86.66</v>
      </c>
      <c r="M87" s="22">
        <f>VLOOKUP(M82,Tarifas!N56:Q69,3)</f>
        <v>99.04</v>
      </c>
      <c r="N87" s="22">
        <f>VLOOKUP(N82,Tarifas!N73:Q86,3)</f>
        <v>111.42</v>
      </c>
      <c r="O87" s="22">
        <f>VLOOKUP(O82,Tarifas!T39:W52,3)</f>
        <v>123.8</v>
      </c>
      <c r="P87" s="22">
        <f>VLOOKUP(P82,Tarifas!T56:W69,3)</f>
        <v>136.18</v>
      </c>
      <c r="Q87" s="22">
        <f>VLOOKUP(Q82,Tarifas!T73:W86,3)</f>
        <v>148.51</v>
      </c>
      <c r="R87" s="12"/>
    </row>
    <row r="88" spans="1:18" ht="15" x14ac:dyDescent="0.25">
      <c r="A88" s="26" t="s">
        <v>37</v>
      </c>
      <c r="B88" s="14" t="s">
        <v>43</v>
      </c>
      <c r="C88" s="12"/>
      <c r="D88" s="12"/>
      <c r="E88" s="12"/>
      <c r="F88" s="27">
        <f t="shared" ref="F88:Q88" si="20">+F86+F87</f>
        <v>433.22281599999997</v>
      </c>
      <c r="G88" s="27">
        <f t="shared" si="20"/>
        <v>358.25311999999997</v>
      </c>
      <c r="H88" s="27">
        <f t="shared" si="20"/>
        <v>431.78</v>
      </c>
      <c r="I88" s="27">
        <f t="shared" si="20"/>
        <v>1042.7788800000001</v>
      </c>
      <c r="J88" s="27">
        <f t="shared" si="20"/>
        <v>1115.6657600000001</v>
      </c>
      <c r="K88" s="27">
        <f t="shared" si="20"/>
        <v>1125.8326400000001</v>
      </c>
      <c r="L88" s="27">
        <f t="shared" si="20"/>
        <v>866.55952000000002</v>
      </c>
      <c r="M88" s="27">
        <f t="shared" si="20"/>
        <v>965.68640000000005</v>
      </c>
      <c r="N88" s="27">
        <f t="shared" si="20"/>
        <v>943.21328000000005</v>
      </c>
      <c r="O88" s="27">
        <f t="shared" si="20"/>
        <v>1170.34016</v>
      </c>
      <c r="P88" s="27">
        <f t="shared" si="20"/>
        <v>2037.4670400000002</v>
      </c>
      <c r="Q88" s="27">
        <f t="shared" si="20"/>
        <v>3096.5413600000002</v>
      </c>
      <c r="R88" s="12"/>
    </row>
    <row r="89" spans="1:18" x14ac:dyDescent="0.2">
      <c r="A89" s="20" t="s">
        <v>36</v>
      </c>
      <c r="B89" s="12" t="s">
        <v>142</v>
      </c>
      <c r="C89" s="12"/>
      <c r="D89" s="12"/>
      <c r="E89" s="12"/>
      <c r="F89" s="13">
        <v>0</v>
      </c>
      <c r="G89" s="16">
        <f>+F89+F93</f>
        <v>0</v>
      </c>
      <c r="H89" s="16">
        <f>+G89+G93</f>
        <v>0</v>
      </c>
      <c r="I89" s="16">
        <f t="shared" ref="I89:Q89" si="21">+H89+H93</f>
        <v>0</v>
      </c>
      <c r="J89" s="16">
        <f t="shared" si="21"/>
        <v>0</v>
      </c>
      <c r="K89" s="16">
        <f t="shared" si="21"/>
        <v>0</v>
      </c>
      <c r="L89" s="16">
        <f t="shared" si="21"/>
        <v>0</v>
      </c>
      <c r="M89" s="16">
        <f t="shared" si="21"/>
        <v>0</v>
      </c>
      <c r="N89" s="16">
        <f t="shared" si="21"/>
        <v>0</v>
      </c>
      <c r="O89" s="16">
        <f t="shared" si="21"/>
        <v>0</v>
      </c>
      <c r="P89" s="16">
        <f t="shared" si="21"/>
        <v>0</v>
      </c>
      <c r="Q89" s="16">
        <f t="shared" si="21"/>
        <v>0</v>
      </c>
      <c r="R89" s="12"/>
    </row>
    <row r="90" spans="1:18" x14ac:dyDescent="0.2">
      <c r="A90" s="20" t="s">
        <v>37</v>
      </c>
      <c r="B90" s="12" t="s">
        <v>143</v>
      </c>
      <c r="C90" s="12"/>
      <c r="D90" s="12"/>
      <c r="E90" s="12"/>
      <c r="F90" s="13">
        <f t="shared" ref="F90:Q90" si="22">IF(F88&gt;F89,F88-F89,0)</f>
        <v>433.22281599999997</v>
      </c>
      <c r="G90" s="13">
        <f t="shared" si="22"/>
        <v>358.25311999999997</v>
      </c>
      <c r="H90" s="13">
        <f t="shared" si="22"/>
        <v>431.78</v>
      </c>
      <c r="I90" s="13">
        <f t="shared" si="22"/>
        <v>1042.7788800000001</v>
      </c>
      <c r="J90" s="13">
        <f t="shared" si="22"/>
        <v>1115.6657600000001</v>
      </c>
      <c r="K90" s="13">
        <f t="shared" si="22"/>
        <v>1125.8326400000001</v>
      </c>
      <c r="L90" s="13">
        <f t="shared" si="22"/>
        <v>866.55952000000002</v>
      </c>
      <c r="M90" s="13">
        <f t="shared" si="22"/>
        <v>965.68640000000005</v>
      </c>
      <c r="N90" s="13">
        <f t="shared" si="22"/>
        <v>943.21328000000005</v>
      </c>
      <c r="O90" s="13">
        <f t="shared" si="22"/>
        <v>1170.34016</v>
      </c>
      <c r="P90" s="13">
        <f t="shared" si="22"/>
        <v>2037.4670400000002</v>
      </c>
      <c r="Q90" s="13">
        <f t="shared" si="22"/>
        <v>3096.5413600000002</v>
      </c>
      <c r="R90" s="12"/>
    </row>
    <row r="91" spans="1:18" x14ac:dyDescent="0.2">
      <c r="A91" s="20" t="s">
        <v>36</v>
      </c>
      <c r="B91" s="12" t="s">
        <v>144</v>
      </c>
      <c r="C91" s="12"/>
      <c r="D91" s="12"/>
      <c r="E91" s="12"/>
      <c r="F91" s="13">
        <f>+F77</f>
        <v>1250</v>
      </c>
      <c r="G91" s="13">
        <f t="shared" ref="G91:Q91" si="23">+G77</f>
        <v>2140</v>
      </c>
      <c r="H91" s="13">
        <f t="shared" si="23"/>
        <v>3500</v>
      </c>
      <c r="I91" s="13">
        <f t="shared" si="23"/>
        <v>5500</v>
      </c>
      <c r="J91" s="13">
        <f t="shared" si="23"/>
        <v>6396.5</v>
      </c>
      <c r="K91" s="13">
        <f t="shared" si="23"/>
        <v>7146.5</v>
      </c>
      <c r="L91" s="13">
        <f t="shared" si="23"/>
        <v>7766.5</v>
      </c>
      <c r="M91" s="13">
        <f t="shared" si="23"/>
        <v>9266.5</v>
      </c>
      <c r="N91" s="13">
        <f t="shared" si="23"/>
        <v>11066.5</v>
      </c>
      <c r="O91" s="13">
        <f t="shared" si="23"/>
        <v>13066.5</v>
      </c>
      <c r="P91" s="13">
        <f t="shared" si="23"/>
        <v>16566.5</v>
      </c>
      <c r="Q91" s="13">
        <f t="shared" si="23"/>
        <v>19066.5</v>
      </c>
      <c r="R91" s="12"/>
    </row>
    <row r="92" spans="1:18" x14ac:dyDescent="0.2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</row>
    <row r="93" spans="1:18" ht="15" x14ac:dyDescent="0.25">
      <c r="A93" s="26" t="s">
        <v>37</v>
      </c>
      <c r="B93" s="14" t="s">
        <v>145</v>
      </c>
      <c r="C93" s="12"/>
      <c r="D93" s="12"/>
      <c r="E93" s="12"/>
      <c r="F93" s="15">
        <f t="shared" ref="F93:Q93" si="24">IF(F90&gt;F91,F90-F91,0)</f>
        <v>0</v>
      </c>
      <c r="G93" s="15">
        <f t="shared" si="24"/>
        <v>0</v>
      </c>
      <c r="H93" s="15">
        <f t="shared" si="24"/>
        <v>0</v>
      </c>
      <c r="I93" s="15">
        <f t="shared" si="24"/>
        <v>0</v>
      </c>
      <c r="J93" s="15">
        <f t="shared" si="24"/>
        <v>0</v>
      </c>
      <c r="K93" s="15">
        <f t="shared" si="24"/>
        <v>0</v>
      </c>
      <c r="L93" s="15">
        <f t="shared" si="24"/>
        <v>0</v>
      </c>
      <c r="M93" s="15">
        <f t="shared" si="24"/>
        <v>0</v>
      </c>
      <c r="N93" s="15">
        <f t="shared" si="24"/>
        <v>0</v>
      </c>
      <c r="O93" s="15">
        <f t="shared" si="24"/>
        <v>0</v>
      </c>
      <c r="P93" s="15">
        <f t="shared" si="24"/>
        <v>0</v>
      </c>
      <c r="Q93" s="15">
        <f t="shared" si="24"/>
        <v>0</v>
      </c>
      <c r="R93" s="15">
        <f>SUM(F93:Q93)</f>
        <v>0</v>
      </c>
    </row>
    <row r="94" spans="1:18" ht="15" x14ac:dyDescent="0.25">
      <c r="B94" s="29"/>
    </row>
    <row r="96" spans="1:18" x14ac:dyDescent="0.2">
      <c r="A96" s="91"/>
      <c r="B96" s="91"/>
      <c r="C96" s="91"/>
      <c r="D96" s="91"/>
      <c r="E96" s="91"/>
      <c r="F96" s="91"/>
      <c r="G96" s="91"/>
      <c r="H96" s="91"/>
      <c r="I96" s="91"/>
      <c r="J96" s="91"/>
      <c r="K96" s="91"/>
      <c r="L96" s="91"/>
      <c r="M96" s="91"/>
      <c r="N96" s="91"/>
      <c r="O96" s="91"/>
      <c r="P96" s="91"/>
      <c r="Q96" s="91"/>
    </row>
    <row r="98" spans="1:17" ht="15" x14ac:dyDescent="0.25">
      <c r="B98" s="29" t="s">
        <v>300</v>
      </c>
      <c r="F98" s="29" t="s">
        <v>345</v>
      </c>
    </row>
    <row r="99" spans="1:17" ht="15" x14ac:dyDescent="0.25">
      <c r="B99" s="29"/>
    </row>
    <row r="100" spans="1:17" ht="15" x14ac:dyDescent="0.25">
      <c r="A100" s="183" t="s">
        <v>81</v>
      </c>
      <c r="B100" s="183"/>
      <c r="C100" s="183"/>
      <c r="D100" s="183"/>
      <c r="E100" s="87" t="s">
        <v>12</v>
      </c>
      <c r="F100" s="87" t="s">
        <v>16</v>
      </c>
      <c r="G100" s="87" t="s">
        <v>20</v>
      </c>
      <c r="H100" s="87" t="s">
        <v>13</v>
      </c>
      <c r="I100" s="87" t="s">
        <v>17</v>
      </c>
      <c r="J100" s="87" t="s">
        <v>21</v>
      </c>
      <c r="K100" s="87" t="s">
        <v>14</v>
      </c>
      <c r="L100" s="87" t="s">
        <v>18</v>
      </c>
      <c r="M100" s="87" t="s">
        <v>22</v>
      </c>
      <c r="N100" s="87" t="s">
        <v>15</v>
      </c>
      <c r="O100" s="87" t="s">
        <v>19</v>
      </c>
      <c r="P100" s="87" t="s">
        <v>23</v>
      </c>
      <c r="Q100" s="87" t="s">
        <v>126</v>
      </c>
    </row>
    <row r="101" spans="1:17" ht="15" x14ac:dyDescent="0.25">
      <c r="A101" s="12"/>
      <c r="B101" s="12" t="s">
        <v>154</v>
      </c>
      <c r="C101" s="12"/>
      <c r="D101" s="12"/>
      <c r="E101" s="13">
        <v>25000</v>
      </c>
      <c r="F101" s="13">
        <v>25000</v>
      </c>
      <c r="G101" s="13">
        <v>25000</v>
      </c>
      <c r="H101" s="13">
        <v>25000</v>
      </c>
      <c r="I101" s="13">
        <v>25000</v>
      </c>
      <c r="J101" s="13">
        <v>25000</v>
      </c>
      <c r="K101" s="13">
        <v>25000</v>
      </c>
      <c r="L101" s="13">
        <v>25000</v>
      </c>
      <c r="M101" s="13">
        <v>25000</v>
      </c>
      <c r="N101" s="13">
        <v>25000</v>
      </c>
      <c r="O101" s="13">
        <v>25000</v>
      </c>
      <c r="P101" s="13">
        <v>25000</v>
      </c>
      <c r="Q101" s="27">
        <f>SUM(E101:P101)</f>
        <v>300000</v>
      </c>
    </row>
    <row r="102" spans="1:17" ht="15" x14ac:dyDescent="0.25">
      <c r="A102" s="12"/>
      <c r="B102" s="12" t="s">
        <v>155</v>
      </c>
      <c r="C102" s="12"/>
      <c r="D102" s="12"/>
      <c r="E102" s="13">
        <f>E101*0.35</f>
        <v>8750</v>
      </c>
      <c r="F102" s="13">
        <f t="shared" ref="F102:P102" si="25">F101*0.35</f>
        <v>8750</v>
      </c>
      <c r="G102" s="13">
        <f t="shared" si="25"/>
        <v>8750</v>
      </c>
      <c r="H102" s="13">
        <f t="shared" si="25"/>
        <v>8750</v>
      </c>
      <c r="I102" s="13">
        <f t="shared" si="25"/>
        <v>8750</v>
      </c>
      <c r="J102" s="13">
        <f t="shared" si="25"/>
        <v>8750</v>
      </c>
      <c r="K102" s="13">
        <f t="shared" si="25"/>
        <v>8750</v>
      </c>
      <c r="L102" s="13">
        <f t="shared" si="25"/>
        <v>8750</v>
      </c>
      <c r="M102" s="13">
        <f t="shared" si="25"/>
        <v>8750</v>
      </c>
      <c r="N102" s="13">
        <f t="shared" si="25"/>
        <v>8750</v>
      </c>
      <c r="O102" s="13">
        <f t="shared" si="25"/>
        <v>8750</v>
      </c>
      <c r="P102" s="13">
        <f t="shared" si="25"/>
        <v>8750</v>
      </c>
      <c r="Q102" s="27">
        <f t="shared" ref="Q102:Q103" si="26">SUM(E102:P102)</f>
        <v>105000</v>
      </c>
    </row>
    <row r="103" spans="1:17" ht="15" x14ac:dyDescent="0.25">
      <c r="A103" s="12"/>
      <c r="B103" s="12" t="s">
        <v>156</v>
      </c>
      <c r="C103" s="12"/>
      <c r="D103" s="12"/>
      <c r="E103" s="13">
        <v>6500</v>
      </c>
      <c r="F103" s="13">
        <v>0</v>
      </c>
      <c r="G103" s="13">
        <v>0</v>
      </c>
      <c r="H103" s="13">
        <v>0</v>
      </c>
      <c r="I103" s="13">
        <v>0</v>
      </c>
      <c r="J103" s="13">
        <v>0</v>
      </c>
      <c r="K103" s="13">
        <v>0</v>
      </c>
      <c r="L103" s="13">
        <v>0</v>
      </c>
      <c r="M103" s="13">
        <v>0</v>
      </c>
      <c r="N103" s="13">
        <v>0</v>
      </c>
      <c r="O103" s="13">
        <v>0</v>
      </c>
      <c r="P103" s="13">
        <v>0</v>
      </c>
      <c r="Q103" s="27">
        <f t="shared" si="26"/>
        <v>6500</v>
      </c>
    </row>
    <row r="104" spans="1:17" x14ac:dyDescent="0.2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</row>
    <row r="105" spans="1:17" x14ac:dyDescent="0.2">
      <c r="A105" s="12"/>
      <c r="B105" s="12" t="s">
        <v>157</v>
      </c>
      <c r="C105" s="12"/>
      <c r="D105" s="12"/>
      <c r="E105" s="16">
        <f>E101-E102-E103</f>
        <v>9750</v>
      </c>
      <c r="F105" s="16">
        <f t="shared" ref="F105:P105" si="27">F101-F102-F103</f>
        <v>16250</v>
      </c>
      <c r="G105" s="16">
        <f t="shared" si="27"/>
        <v>16250</v>
      </c>
      <c r="H105" s="16">
        <f t="shared" si="27"/>
        <v>16250</v>
      </c>
      <c r="I105" s="16">
        <f t="shared" si="27"/>
        <v>16250</v>
      </c>
      <c r="J105" s="16">
        <f t="shared" si="27"/>
        <v>16250</v>
      </c>
      <c r="K105" s="16">
        <f t="shared" si="27"/>
        <v>16250</v>
      </c>
      <c r="L105" s="16">
        <f t="shared" si="27"/>
        <v>16250</v>
      </c>
      <c r="M105" s="16">
        <f t="shared" si="27"/>
        <v>16250</v>
      </c>
      <c r="N105" s="16">
        <f t="shared" si="27"/>
        <v>16250</v>
      </c>
      <c r="O105" s="16">
        <f t="shared" si="27"/>
        <v>16250</v>
      </c>
      <c r="P105" s="16">
        <f t="shared" si="27"/>
        <v>16250</v>
      </c>
      <c r="Q105" s="12"/>
    </row>
    <row r="106" spans="1:17" x14ac:dyDescent="0.2">
      <c r="A106" s="20" t="s">
        <v>36</v>
      </c>
      <c r="B106" s="12" t="s">
        <v>1</v>
      </c>
      <c r="C106" s="12"/>
      <c r="D106" s="12"/>
      <c r="E106" s="22">
        <f>VLOOKUP(E105,Tarifas!$B$3:$E$16,1)</f>
        <v>9614.67</v>
      </c>
      <c r="F106" s="22">
        <f>VLOOKUP(F105,Tarifas!$B$3:$E$16,1)</f>
        <v>13381.48</v>
      </c>
      <c r="G106" s="22">
        <f>VLOOKUP(G105,Tarifas!$B$3:$E$16,1)</f>
        <v>13381.48</v>
      </c>
      <c r="H106" s="22">
        <f>VLOOKUP(H105,Tarifas!$B$3:$E$16,1)</f>
        <v>13381.48</v>
      </c>
      <c r="I106" s="22">
        <f>VLOOKUP(I105,Tarifas!$B$3:$E$16,1)</f>
        <v>13381.48</v>
      </c>
      <c r="J106" s="22">
        <f>VLOOKUP(J105,Tarifas!$B$3:$E$16,1)</f>
        <v>13381.48</v>
      </c>
      <c r="K106" s="22">
        <f>VLOOKUP(K105,Tarifas!$B$3:$E$16,1)</f>
        <v>13381.48</v>
      </c>
      <c r="L106" s="22">
        <f>VLOOKUP(L105,Tarifas!$B$3:$E$16,1)</f>
        <v>13381.48</v>
      </c>
      <c r="M106" s="22">
        <f>VLOOKUP(M105,Tarifas!$B$3:$E$16,1)</f>
        <v>13381.48</v>
      </c>
      <c r="N106" s="22">
        <f>VLOOKUP(N105,Tarifas!$B$3:$E$16,1)</f>
        <v>13381.48</v>
      </c>
      <c r="O106" s="22">
        <f>VLOOKUP(O105,Tarifas!$B$3:$E$16,1)</f>
        <v>13381.48</v>
      </c>
      <c r="P106" s="22">
        <f>VLOOKUP(P105,Tarifas!$B$3:$E$16,1)</f>
        <v>13381.48</v>
      </c>
      <c r="Q106" s="12"/>
    </row>
    <row r="107" spans="1:17" x14ac:dyDescent="0.2">
      <c r="A107" s="20" t="s">
        <v>37</v>
      </c>
      <c r="B107" s="12" t="s">
        <v>38</v>
      </c>
      <c r="C107" s="12"/>
      <c r="D107" s="12"/>
      <c r="E107" s="16">
        <f t="shared" ref="E107:P107" si="28">+E105-E106</f>
        <v>135.32999999999993</v>
      </c>
      <c r="F107" s="16">
        <f t="shared" si="28"/>
        <v>2868.5200000000004</v>
      </c>
      <c r="G107" s="16">
        <f t="shared" si="28"/>
        <v>2868.5200000000004</v>
      </c>
      <c r="H107" s="16">
        <f t="shared" si="28"/>
        <v>2868.5200000000004</v>
      </c>
      <c r="I107" s="16">
        <f t="shared" si="28"/>
        <v>2868.5200000000004</v>
      </c>
      <c r="J107" s="16">
        <f t="shared" si="28"/>
        <v>2868.5200000000004</v>
      </c>
      <c r="K107" s="16">
        <f t="shared" si="28"/>
        <v>2868.5200000000004</v>
      </c>
      <c r="L107" s="16">
        <f t="shared" si="28"/>
        <v>2868.5200000000004</v>
      </c>
      <c r="M107" s="16">
        <f t="shared" si="28"/>
        <v>2868.5200000000004</v>
      </c>
      <c r="N107" s="16">
        <f t="shared" si="28"/>
        <v>2868.5200000000004</v>
      </c>
      <c r="O107" s="16">
        <f t="shared" si="28"/>
        <v>2868.5200000000004</v>
      </c>
      <c r="P107" s="16">
        <f t="shared" si="28"/>
        <v>2868.5200000000004</v>
      </c>
      <c r="Q107" s="12"/>
    </row>
    <row r="108" spans="1:17" x14ac:dyDescent="0.2">
      <c r="A108" s="20" t="s">
        <v>39</v>
      </c>
      <c r="B108" s="12" t="s">
        <v>40</v>
      </c>
      <c r="C108" s="12"/>
      <c r="D108" s="12"/>
      <c r="E108" s="23">
        <f>VLOOKUP(E105,Tarifas!$B$3:$E$16,4)/100</f>
        <v>0.16</v>
      </c>
      <c r="F108" s="23">
        <f>VLOOKUP(F105,Tarifas!$B$3:$E$16,4)/100</f>
        <v>0.21359999999999998</v>
      </c>
      <c r="G108" s="23">
        <f>VLOOKUP(G105,Tarifas!$B$3:$E$16,4)/100</f>
        <v>0.21359999999999998</v>
      </c>
      <c r="H108" s="23">
        <f>VLOOKUP(H105,Tarifas!$B$3:$E$16,4)/100</f>
        <v>0.21359999999999998</v>
      </c>
      <c r="I108" s="23">
        <f>VLOOKUP(I105,Tarifas!$B$3:$E$16,4)/100</f>
        <v>0.21359999999999998</v>
      </c>
      <c r="J108" s="23">
        <f>VLOOKUP(J105,Tarifas!$B$3:$E$16,4)/100</f>
        <v>0.21359999999999998</v>
      </c>
      <c r="K108" s="23">
        <f>VLOOKUP(K105,Tarifas!$B$3:$E$16,4)/100</f>
        <v>0.21359999999999998</v>
      </c>
      <c r="L108" s="23">
        <f>VLOOKUP(L105,Tarifas!$B$3:$E$16,4)/100</f>
        <v>0.21359999999999998</v>
      </c>
      <c r="M108" s="23">
        <f>VLOOKUP(M105,Tarifas!$B$3:$E$16,4)/100</f>
        <v>0.21359999999999998</v>
      </c>
      <c r="N108" s="23">
        <f>VLOOKUP(N105,Tarifas!$B$3:$E$16,4)/100</f>
        <v>0.21359999999999998</v>
      </c>
      <c r="O108" s="23">
        <f>VLOOKUP(O105,Tarifas!$B$3:$E$16,4)/100</f>
        <v>0.21359999999999998</v>
      </c>
      <c r="P108" s="23">
        <f>VLOOKUP(P105,Tarifas!$B$3:$E$16,4)/100</f>
        <v>0.21359999999999998</v>
      </c>
      <c r="Q108" s="12"/>
    </row>
    <row r="109" spans="1:17" x14ac:dyDescent="0.2">
      <c r="A109" s="20" t="s">
        <v>37</v>
      </c>
      <c r="B109" s="12" t="s">
        <v>41</v>
      </c>
      <c r="C109" s="12"/>
      <c r="D109" s="12"/>
      <c r="E109" s="16">
        <f t="shared" ref="E109:P109" si="29">+E107*E108</f>
        <v>21.652799999999989</v>
      </c>
      <c r="F109" s="16">
        <f t="shared" si="29"/>
        <v>612.7158720000001</v>
      </c>
      <c r="G109" s="16">
        <f t="shared" si="29"/>
        <v>612.7158720000001</v>
      </c>
      <c r="H109" s="16">
        <f t="shared" si="29"/>
        <v>612.7158720000001</v>
      </c>
      <c r="I109" s="16">
        <f t="shared" si="29"/>
        <v>612.7158720000001</v>
      </c>
      <c r="J109" s="16">
        <f t="shared" si="29"/>
        <v>612.7158720000001</v>
      </c>
      <c r="K109" s="16">
        <f t="shared" si="29"/>
        <v>612.7158720000001</v>
      </c>
      <c r="L109" s="16">
        <f t="shared" si="29"/>
        <v>612.7158720000001</v>
      </c>
      <c r="M109" s="16">
        <f t="shared" si="29"/>
        <v>612.7158720000001</v>
      </c>
      <c r="N109" s="16">
        <f t="shared" si="29"/>
        <v>612.7158720000001</v>
      </c>
      <c r="O109" s="16">
        <f t="shared" si="29"/>
        <v>612.7158720000001</v>
      </c>
      <c r="P109" s="16">
        <f t="shared" si="29"/>
        <v>612.7158720000001</v>
      </c>
      <c r="Q109" s="12"/>
    </row>
    <row r="110" spans="1:17" x14ac:dyDescent="0.2">
      <c r="A110" s="20" t="s">
        <v>42</v>
      </c>
      <c r="B110" s="12" t="s">
        <v>3</v>
      </c>
      <c r="C110" s="12"/>
      <c r="D110" s="12"/>
      <c r="E110" s="22">
        <f>VLOOKUP(E105,Tarifas!$B$3:$E$16,3)</f>
        <v>772.1</v>
      </c>
      <c r="F110" s="22">
        <f>VLOOKUP(F105,Tarifas!$B$3:$E$16,3)</f>
        <v>1417.12</v>
      </c>
      <c r="G110" s="22">
        <f>VLOOKUP(G105,Tarifas!$B$3:$E$16,3)</f>
        <v>1417.12</v>
      </c>
      <c r="H110" s="22">
        <f>VLOOKUP(H105,Tarifas!$B$3:$E$16,3)</f>
        <v>1417.12</v>
      </c>
      <c r="I110" s="22">
        <f>VLOOKUP(I105,Tarifas!$B$3:$E$16,3)</f>
        <v>1417.12</v>
      </c>
      <c r="J110" s="22">
        <f>VLOOKUP(J105,Tarifas!$B$3:$E$16,3)</f>
        <v>1417.12</v>
      </c>
      <c r="K110" s="22">
        <f>VLOOKUP(K105,Tarifas!$B$3:$E$16,3)</f>
        <v>1417.12</v>
      </c>
      <c r="L110" s="22">
        <f>VLOOKUP(L105,Tarifas!$B$3:$E$16,3)</f>
        <v>1417.12</v>
      </c>
      <c r="M110" s="22">
        <f>VLOOKUP(M105,Tarifas!$B$3:$E$16,3)</f>
        <v>1417.12</v>
      </c>
      <c r="N110" s="22">
        <f>VLOOKUP(N105,Tarifas!$B$3:$E$16,3)</f>
        <v>1417.12</v>
      </c>
      <c r="O110" s="22">
        <f>VLOOKUP(O105,Tarifas!$B$3:$E$16,3)</f>
        <v>1417.12</v>
      </c>
      <c r="P110" s="22">
        <f>VLOOKUP(P105,Tarifas!$B$3:$E$16,3)</f>
        <v>1417.12</v>
      </c>
      <c r="Q110" s="12"/>
    </row>
    <row r="111" spans="1:17" ht="15" x14ac:dyDescent="0.25">
      <c r="A111" s="26" t="s">
        <v>37</v>
      </c>
      <c r="B111" s="14" t="s">
        <v>43</v>
      </c>
      <c r="C111" s="12"/>
      <c r="D111" s="12"/>
      <c r="E111" s="27">
        <f t="shared" ref="E111:P111" si="30">+E109+E110</f>
        <v>793.75279999999998</v>
      </c>
      <c r="F111" s="27">
        <f t="shared" si="30"/>
        <v>2029.8358720000001</v>
      </c>
      <c r="G111" s="27">
        <f t="shared" si="30"/>
        <v>2029.8358720000001</v>
      </c>
      <c r="H111" s="27">
        <f t="shared" si="30"/>
        <v>2029.8358720000001</v>
      </c>
      <c r="I111" s="27">
        <f t="shared" si="30"/>
        <v>2029.8358720000001</v>
      </c>
      <c r="J111" s="27">
        <f t="shared" si="30"/>
        <v>2029.8358720000001</v>
      </c>
      <c r="K111" s="27">
        <f t="shared" si="30"/>
        <v>2029.8358720000001</v>
      </c>
      <c r="L111" s="27">
        <f t="shared" si="30"/>
        <v>2029.8358720000001</v>
      </c>
      <c r="M111" s="27">
        <f t="shared" si="30"/>
        <v>2029.8358720000001</v>
      </c>
      <c r="N111" s="27">
        <f t="shared" si="30"/>
        <v>2029.8358720000001</v>
      </c>
      <c r="O111" s="27">
        <f t="shared" si="30"/>
        <v>2029.8358720000001</v>
      </c>
      <c r="P111" s="27">
        <f t="shared" si="30"/>
        <v>2029.8358720000001</v>
      </c>
      <c r="Q111" s="27">
        <f>SUM(E111:P111)</f>
        <v>23121.947391999998</v>
      </c>
    </row>
    <row r="112" spans="1:17" ht="15" x14ac:dyDescent="0.25">
      <c r="A112" s="20" t="s">
        <v>36</v>
      </c>
      <c r="B112" s="12" t="s">
        <v>158</v>
      </c>
      <c r="C112" s="12"/>
      <c r="D112" s="12"/>
      <c r="E112" s="47">
        <f>+E101*0.1</f>
        <v>2500</v>
      </c>
      <c r="F112" s="47">
        <f t="shared" ref="F112:P112" si="31">+F101*0.1</f>
        <v>2500</v>
      </c>
      <c r="G112" s="47">
        <f t="shared" si="31"/>
        <v>2500</v>
      </c>
      <c r="H112" s="47">
        <f t="shared" si="31"/>
        <v>2500</v>
      </c>
      <c r="I112" s="47">
        <f t="shared" si="31"/>
        <v>2500</v>
      </c>
      <c r="J112" s="47">
        <f t="shared" si="31"/>
        <v>2500</v>
      </c>
      <c r="K112" s="47">
        <f t="shared" si="31"/>
        <v>2500</v>
      </c>
      <c r="L112" s="47">
        <f t="shared" si="31"/>
        <v>2500</v>
      </c>
      <c r="M112" s="47">
        <f t="shared" si="31"/>
        <v>2500</v>
      </c>
      <c r="N112" s="47">
        <f t="shared" si="31"/>
        <v>2500</v>
      </c>
      <c r="O112" s="47">
        <f t="shared" si="31"/>
        <v>2500</v>
      </c>
      <c r="P112" s="47">
        <f t="shared" si="31"/>
        <v>2500</v>
      </c>
      <c r="Q112" s="27">
        <f t="shared" ref="Q112:Q113" si="32">SUM(E112:P112)</f>
        <v>30000</v>
      </c>
    </row>
    <row r="113" spans="1:17" ht="15" x14ac:dyDescent="0.25">
      <c r="A113" s="26" t="s">
        <v>37</v>
      </c>
      <c r="B113" s="14" t="s">
        <v>159</v>
      </c>
      <c r="C113" s="12"/>
      <c r="D113" s="12"/>
      <c r="E113" s="15">
        <f t="shared" ref="E113:P113" si="33">IF(E111&gt;E112,E111-E112,0)</f>
        <v>0</v>
      </c>
      <c r="F113" s="15">
        <f t="shared" si="33"/>
        <v>0</v>
      </c>
      <c r="G113" s="15">
        <f t="shared" si="33"/>
        <v>0</v>
      </c>
      <c r="H113" s="15">
        <f t="shared" si="33"/>
        <v>0</v>
      </c>
      <c r="I113" s="15">
        <f t="shared" si="33"/>
        <v>0</v>
      </c>
      <c r="J113" s="15">
        <f t="shared" si="33"/>
        <v>0</v>
      </c>
      <c r="K113" s="15">
        <f t="shared" si="33"/>
        <v>0</v>
      </c>
      <c r="L113" s="15">
        <f t="shared" si="33"/>
        <v>0</v>
      </c>
      <c r="M113" s="15">
        <f t="shared" si="33"/>
        <v>0</v>
      </c>
      <c r="N113" s="15">
        <f t="shared" si="33"/>
        <v>0</v>
      </c>
      <c r="O113" s="15">
        <f t="shared" si="33"/>
        <v>0</v>
      </c>
      <c r="P113" s="15">
        <f t="shared" si="33"/>
        <v>0</v>
      </c>
      <c r="Q113" s="16">
        <f t="shared" si="32"/>
        <v>0</v>
      </c>
    </row>
    <row r="114" spans="1:17" ht="15" x14ac:dyDescent="0.25">
      <c r="A114" s="36"/>
      <c r="B114" s="14"/>
      <c r="C114" s="14"/>
      <c r="D114" s="14"/>
      <c r="E114" s="27"/>
      <c r="F114" s="12"/>
      <c r="G114" s="12"/>
      <c r="H114" s="12"/>
      <c r="I114" s="12"/>
      <c r="J114" s="12"/>
      <c r="K114" s="12"/>
      <c r="L114" s="12"/>
      <c r="M114" s="12"/>
      <c r="N114" s="12"/>
      <c r="O114" s="12"/>
    </row>
    <row r="115" spans="1:17" ht="15" x14ac:dyDescent="0.25">
      <c r="A115" s="106"/>
      <c r="B115" s="107"/>
      <c r="C115" s="107"/>
      <c r="D115" s="107"/>
      <c r="E115" s="108"/>
      <c r="F115" s="109"/>
      <c r="G115" s="109"/>
      <c r="H115" s="109"/>
      <c r="I115" s="109"/>
      <c r="J115" s="109"/>
      <c r="K115" s="109"/>
      <c r="L115" s="109"/>
      <c r="M115" s="109"/>
      <c r="N115" s="109"/>
      <c r="O115" s="109"/>
      <c r="P115" s="91"/>
      <c r="Q115" s="91"/>
    </row>
    <row r="116" spans="1:17" x14ac:dyDescent="0.2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</row>
    <row r="117" spans="1:17" ht="15" x14ac:dyDescent="0.25">
      <c r="B117" s="29" t="s">
        <v>100</v>
      </c>
      <c r="I117" s="29" t="s">
        <v>92</v>
      </c>
    </row>
    <row r="118" spans="1:17" ht="15" x14ac:dyDescent="0.25">
      <c r="A118" s="12"/>
      <c r="B118" s="183" t="s">
        <v>81</v>
      </c>
      <c r="C118" s="183"/>
      <c r="D118" s="183"/>
      <c r="E118" s="87" t="s">
        <v>82</v>
      </c>
      <c r="F118" s="87" t="s">
        <v>83</v>
      </c>
      <c r="H118" s="12"/>
      <c r="I118" s="183" t="s">
        <v>81</v>
      </c>
      <c r="J118" s="183"/>
      <c r="K118" s="183"/>
      <c r="L118" s="87" t="s">
        <v>82</v>
      </c>
      <c r="M118" s="87" t="s">
        <v>235</v>
      </c>
      <c r="N118" s="87" t="s">
        <v>234</v>
      </c>
    </row>
    <row r="119" spans="1:17" x14ac:dyDescent="0.2">
      <c r="A119" s="12"/>
      <c r="B119" s="12" t="s">
        <v>84</v>
      </c>
      <c r="C119" s="12"/>
      <c r="D119" s="12"/>
      <c r="E119" s="16">
        <f>+P26</f>
        <v>96000</v>
      </c>
      <c r="F119" s="16">
        <v>0</v>
      </c>
      <c r="H119" s="12"/>
      <c r="I119" s="12" t="s">
        <v>93</v>
      </c>
      <c r="J119" s="12"/>
      <c r="K119" s="12"/>
      <c r="L119" s="16">
        <v>35000</v>
      </c>
      <c r="M119" s="1">
        <v>0</v>
      </c>
      <c r="N119" s="1">
        <f t="shared" ref="N119:N124" si="34">+L119</f>
        <v>35000</v>
      </c>
    </row>
    <row r="120" spans="1:17" x14ac:dyDescent="0.2">
      <c r="A120" s="20" t="s">
        <v>42</v>
      </c>
      <c r="B120" s="12" t="s">
        <v>85</v>
      </c>
      <c r="C120" s="12"/>
      <c r="D120" s="12"/>
      <c r="E120" s="16">
        <v>0</v>
      </c>
      <c r="F120" s="16">
        <v>0</v>
      </c>
      <c r="H120" s="20" t="s">
        <v>42</v>
      </c>
      <c r="I120" s="12" t="s">
        <v>94</v>
      </c>
      <c r="J120" s="12"/>
      <c r="K120" s="12"/>
      <c r="L120" s="16">
        <v>0</v>
      </c>
      <c r="M120" s="1">
        <v>32693.4</v>
      </c>
      <c r="N120" s="1">
        <f t="shared" si="34"/>
        <v>0</v>
      </c>
    </row>
    <row r="121" spans="1:17" x14ac:dyDescent="0.2">
      <c r="A121" s="20" t="s">
        <v>42</v>
      </c>
      <c r="B121" s="12" t="s">
        <v>86</v>
      </c>
      <c r="C121" s="12"/>
      <c r="D121" s="12"/>
      <c r="E121" s="16">
        <f>+E50</f>
        <v>4000.0000000000005</v>
      </c>
      <c r="F121" s="16">
        <f>+E52</f>
        <v>2688.6000000000004</v>
      </c>
      <c r="H121" s="20" t="s">
        <v>42</v>
      </c>
      <c r="I121" s="12" t="s">
        <v>95</v>
      </c>
      <c r="J121" s="12"/>
      <c r="K121" s="12"/>
      <c r="L121" s="16">
        <v>0</v>
      </c>
      <c r="M121" s="1">
        <v>0</v>
      </c>
      <c r="N121" s="1">
        <f t="shared" si="34"/>
        <v>0</v>
      </c>
    </row>
    <row r="122" spans="1:17" x14ac:dyDescent="0.2">
      <c r="A122" s="20" t="s">
        <v>42</v>
      </c>
      <c r="B122" s="12" t="s">
        <v>87</v>
      </c>
      <c r="C122" s="12"/>
      <c r="D122" s="12"/>
      <c r="E122" s="16">
        <f>+E43</f>
        <v>400</v>
      </c>
      <c r="F122" s="16">
        <f>+E45</f>
        <v>400</v>
      </c>
      <c r="H122" s="20" t="s">
        <v>42</v>
      </c>
      <c r="I122" s="12" t="s">
        <v>96</v>
      </c>
      <c r="J122" s="12"/>
      <c r="K122" s="12"/>
      <c r="L122" s="16">
        <v>3062</v>
      </c>
      <c r="M122" s="1">
        <v>0</v>
      </c>
      <c r="N122" s="1">
        <f t="shared" si="34"/>
        <v>3062</v>
      </c>
    </row>
    <row r="123" spans="1:17" x14ac:dyDescent="0.2">
      <c r="A123" s="20" t="s">
        <v>42</v>
      </c>
      <c r="B123" s="12" t="s">
        <v>302</v>
      </c>
      <c r="C123" s="12"/>
      <c r="D123" s="12"/>
      <c r="E123" s="16">
        <f>+Q69</f>
        <v>190665</v>
      </c>
      <c r="F123" s="16">
        <v>0</v>
      </c>
      <c r="H123" s="20" t="s">
        <v>42</v>
      </c>
      <c r="I123" s="12" t="s">
        <v>247</v>
      </c>
      <c r="J123" s="12"/>
      <c r="K123" s="12"/>
      <c r="L123" s="1">
        <v>10000</v>
      </c>
      <c r="M123" s="16">
        <f>+E142*0.1</f>
        <v>33960.94</v>
      </c>
      <c r="N123" s="1">
        <f t="shared" si="34"/>
        <v>10000</v>
      </c>
    </row>
    <row r="124" spans="1:17" x14ac:dyDescent="0.2">
      <c r="A124" s="20" t="s">
        <v>42</v>
      </c>
      <c r="B124" s="12" t="s">
        <v>215</v>
      </c>
      <c r="C124" s="12"/>
      <c r="D124" s="12"/>
      <c r="E124" s="16">
        <f>+Q101</f>
        <v>300000</v>
      </c>
      <c r="F124" s="16">
        <v>0</v>
      </c>
      <c r="H124" s="20" t="s">
        <v>42</v>
      </c>
      <c r="I124" s="12" t="s">
        <v>291</v>
      </c>
      <c r="J124" s="12"/>
      <c r="K124" s="12"/>
      <c r="L124" s="1">
        <v>2000</v>
      </c>
      <c r="M124" s="16">
        <v>2500</v>
      </c>
      <c r="N124" s="1">
        <f t="shared" si="34"/>
        <v>2000</v>
      </c>
    </row>
    <row r="125" spans="1:17" x14ac:dyDescent="0.2">
      <c r="A125" s="20" t="s">
        <v>42</v>
      </c>
      <c r="B125" s="33" t="s">
        <v>289</v>
      </c>
      <c r="C125" s="33"/>
      <c r="D125" s="33"/>
      <c r="E125" s="22">
        <v>0</v>
      </c>
      <c r="F125" s="22">
        <v>0</v>
      </c>
      <c r="H125" s="20" t="s">
        <v>42</v>
      </c>
      <c r="I125" s="33" t="s">
        <v>98</v>
      </c>
      <c r="J125" s="33"/>
      <c r="K125" s="33"/>
      <c r="L125" s="22">
        <v>0</v>
      </c>
      <c r="M125" s="25">
        <v>0</v>
      </c>
      <c r="N125" s="25">
        <v>0</v>
      </c>
    </row>
    <row r="126" spans="1:17" ht="15" x14ac:dyDescent="0.25">
      <c r="A126" s="36" t="s">
        <v>37</v>
      </c>
      <c r="B126" s="14" t="s">
        <v>88</v>
      </c>
      <c r="C126" s="12"/>
      <c r="D126" s="12"/>
      <c r="E126" s="27">
        <f>SUM(E119:E125)</f>
        <v>591065</v>
      </c>
      <c r="F126" s="27">
        <f>SUM(F119:F125)</f>
        <v>3088.6000000000004</v>
      </c>
      <c r="H126" s="36" t="s">
        <v>37</v>
      </c>
      <c r="I126" s="14" t="s">
        <v>99</v>
      </c>
      <c r="J126" s="12"/>
      <c r="K126" s="12"/>
      <c r="L126" s="27">
        <f>SUM(L119:L125)</f>
        <v>50062</v>
      </c>
      <c r="M126" s="27">
        <f t="shared" ref="M126:N126" si="35">SUM(M119:M125)</f>
        <v>69154.34</v>
      </c>
      <c r="N126" s="40">
        <f t="shared" si="35"/>
        <v>50062</v>
      </c>
    </row>
    <row r="128" spans="1:17" ht="15" x14ac:dyDescent="0.25">
      <c r="B128" s="12" t="s">
        <v>89</v>
      </c>
      <c r="C128" s="12"/>
      <c r="E128" s="1">
        <f>+E126*0.15</f>
        <v>88659.75</v>
      </c>
      <c r="I128" s="29" t="s">
        <v>101</v>
      </c>
    </row>
    <row r="129" spans="1:14" ht="15" x14ac:dyDescent="0.25">
      <c r="B129" s="12" t="s">
        <v>90</v>
      </c>
      <c r="C129" s="12"/>
      <c r="E129" s="1">
        <f>5*G17</f>
        <v>163467</v>
      </c>
      <c r="H129" s="12"/>
      <c r="I129" s="183" t="s">
        <v>81</v>
      </c>
      <c r="J129" s="183"/>
      <c r="K129" s="183"/>
      <c r="L129" s="87" t="s">
        <v>82</v>
      </c>
      <c r="M129" s="87" t="s">
        <v>235</v>
      </c>
      <c r="N129" s="87" t="s">
        <v>234</v>
      </c>
    </row>
    <row r="130" spans="1:14" x14ac:dyDescent="0.2">
      <c r="H130" s="12"/>
      <c r="I130" s="12" t="s">
        <v>102</v>
      </c>
      <c r="J130" s="12"/>
      <c r="K130" s="12"/>
      <c r="L130" s="16">
        <v>0</v>
      </c>
      <c r="M130" s="1">
        <v>152000</v>
      </c>
      <c r="N130" s="1">
        <f>+L130</f>
        <v>0</v>
      </c>
    </row>
    <row r="131" spans="1:14" ht="15" x14ac:dyDescent="0.25">
      <c r="B131" s="15" t="s">
        <v>91</v>
      </c>
      <c r="C131" s="15"/>
      <c r="D131" s="15"/>
      <c r="E131" s="15">
        <f>+E128</f>
        <v>88659.75</v>
      </c>
      <c r="H131" s="20" t="s">
        <v>42</v>
      </c>
      <c r="I131" s="33" t="s">
        <v>294</v>
      </c>
      <c r="J131" s="33"/>
      <c r="K131" s="33"/>
      <c r="L131" s="22">
        <v>22000</v>
      </c>
      <c r="M131" s="25">
        <v>14200</v>
      </c>
      <c r="N131" s="25">
        <f>+M131</f>
        <v>14200</v>
      </c>
    </row>
    <row r="132" spans="1:14" ht="15" x14ac:dyDescent="0.25">
      <c r="H132" s="36" t="s">
        <v>37</v>
      </c>
      <c r="I132" s="14" t="s">
        <v>103</v>
      </c>
      <c r="J132" s="12"/>
      <c r="K132" s="12"/>
      <c r="L132" s="27">
        <f>SUM(L130:L131)</f>
        <v>22000</v>
      </c>
      <c r="M132" s="27">
        <f t="shared" ref="M132:N132" si="36">SUM(M130:M131)</f>
        <v>166200</v>
      </c>
      <c r="N132" s="40">
        <f t="shared" si="36"/>
        <v>14200</v>
      </c>
    </row>
    <row r="134" spans="1:14" ht="15" x14ac:dyDescent="0.25">
      <c r="A134" s="95"/>
      <c r="B134" s="103" t="s">
        <v>307</v>
      </c>
      <c r="C134" s="95"/>
      <c r="D134" s="95"/>
      <c r="E134" s="95"/>
      <c r="F134" s="95"/>
      <c r="I134" s="29" t="s">
        <v>305</v>
      </c>
    </row>
    <row r="135" spans="1:14" ht="15" x14ac:dyDescent="0.25">
      <c r="A135" s="93"/>
      <c r="B135" s="183" t="s">
        <v>81</v>
      </c>
      <c r="C135" s="183"/>
      <c r="D135" s="183"/>
      <c r="E135" s="87" t="s">
        <v>48</v>
      </c>
      <c r="F135" s="95"/>
      <c r="H135" s="12"/>
      <c r="I135" s="183" t="s">
        <v>81</v>
      </c>
      <c r="J135" s="183"/>
      <c r="K135" s="183"/>
      <c r="L135" s="87" t="s">
        <v>82</v>
      </c>
    </row>
    <row r="136" spans="1:14" x14ac:dyDescent="0.2">
      <c r="A136" s="93"/>
      <c r="B136" s="93" t="s">
        <v>84</v>
      </c>
      <c r="C136" s="93"/>
      <c r="D136" s="93"/>
      <c r="E136" s="94">
        <f>+E126-E124-E123</f>
        <v>100400</v>
      </c>
      <c r="F136" s="95"/>
      <c r="H136" s="20"/>
      <c r="I136" s="12" t="s">
        <v>113</v>
      </c>
      <c r="J136" s="12"/>
      <c r="K136" s="12"/>
      <c r="L136" s="16">
        <f>+P36</f>
        <v>7299.7541120000014</v>
      </c>
    </row>
    <row r="137" spans="1:14" x14ac:dyDescent="0.2">
      <c r="A137" s="96" t="s">
        <v>42</v>
      </c>
      <c r="B137" s="93" t="s">
        <v>215</v>
      </c>
      <c r="C137" s="93"/>
      <c r="D137" s="93"/>
      <c r="E137" s="94">
        <f>+Q101-Q102-Q103</f>
        <v>188500</v>
      </c>
      <c r="F137" s="95"/>
      <c r="H137" s="20" t="s">
        <v>42</v>
      </c>
      <c r="I137" s="12" t="s">
        <v>303</v>
      </c>
      <c r="J137" s="12"/>
      <c r="K137" s="12"/>
      <c r="L137" s="16">
        <f>+Q77</f>
        <v>19066.5</v>
      </c>
    </row>
    <row r="138" spans="1:14" x14ac:dyDescent="0.2">
      <c r="A138" s="96" t="s">
        <v>42</v>
      </c>
      <c r="B138" s="93" t="s">
        <v>302</v>
      </c>
      <c r="C138" s="93"/>
      <c r="D138" s="93"/>
      <c r="E138" s="94">
        <f>+Q82</f>
        <v>53798</v>
      </c>
      <c r="F138" s="95"/>
      <c r="H138" s="20" t="s">
        <v>42</v>
      </c>
      <c r="I138" s="33" t="s">
        <v>304</v>
      </c>
      <c r="J138" s="33"/>
      <c r="K138" s="33"/>
      <c r="L138" s="22">
        <f>+Q112</f>
        <v>30000</v>
      </c>
    </row>
    <row r="139" spans="1:14" ht="15" x14ac:dyDescent="0.25">
      <c r="A139" s="96" t="s">
        <v>36</v>
      </c>
      <c r="B139" s="93" t="s">
        <v>104</v>
      </c>
      <c r="C139" s="93"/>
      <c r="D139" s="93"/>
      <c r="E139" s="97">
        <f>+F126</f>
        <v>3088.6000000000004</v>
      </c>
      <c r="F139" s="95"/>
      <c r="H139" s="36" t="s">
        <v>37</v>
      </c>
      <c r="I139" s="14" t="s">
        <v>116</v>
      </c>
      <c r="J139" s="14"/>
      <c r="K139" s="14"/>
      <c r="L139" s="40">
        <f>SUM(L136:L138)</f>
        <v>56366.254112000002</v>
      </c>
    </row>
    <row r="140" spans="1:14" ht="15" x14ac:dyDescent="0.25">
      <c r="A140" s="98" t="s">
        <v>37</v>
      </c>
      <c r="B140" s="99" t="s">
        <v>105</v>
      </c>
      <c r="C140" s="99"/>
      <c r="D140" s="99"/>
      <c r="E140" s="100">
        <f>+E136+E137+E138-E139</f>
        <v>339609.4</v>
      </c>
      <c r="F140" s="95"/>
      <c r="H140" s="20"/>
      <c r="I140" s="12"/>
      <c r="J140" s="12"/>
      <c r="K140" s="12"/>
      <c r="L140" s="16"/>
    </row>
    <row r="141" spans="1:14" ht="15" x14ac:dyDescent="0.25">
      <c r="A141" s="96" t="s">
        <v>36</v>
      </c>
      <c r="B141" s="93" t="s">
        <v>106</v>
      </c>
      <c r="C141" s="93"/>
      <c r="D141" s="93"/>
      <c r="E141" s="97">
        <v>0</v>
      </c>
      <c r="F141" s="95"/>
      <c r="H141" s="128"/>
      <c r="I141" s="129"/>
      <c r="J141" s="129"/>
      <c r="K141" s="129"/>
      <c r="L141" s="129"/>
      <c r="M141" s="130"/>
      <c r="N141" s="130"/>
    </row>
    <row r="142" spans="1:14" ht="15" x14ac:dyDescent="0.25">
      <c r="A142" s="96" t="s">
        <v>37</v>
      </c>
      <c r="B142" s="93" t="s">
        <v>107</v>
      </c>
      <c r="C142" s="93"/>
      <c r="D142" s="93"/>
      <c r="E142" s="94">
        <f>+E140-E141</f>
        <v>339609.4</v>
      </c>
      <c r="F142" s="95"/>
      <c r="I142" s="29" t="s">
        <v>306</v>
      </c>
      <c r="M142" s="130"/>
      <c r="N142" s="130"/>
    </row>
    <row r="143" spans="1:14" ht="15" x14ac:dyDescent="0.25">
      <c r="A143" s="96" t="s">
        <v>36</v>
      </c>
      <c r="B143" s="93" t="s">
        <v>108</v>
      </c>
      <c r="C143" s="93"/>
      <c r="D143" s="93"/>
      <c r="E143" s="97">
        <f>+N126+N132</f>
        <v>64262</v>
      </c>
      <c r="F143" s="95"/>
      <c r="H143" s="12"/>
      <c r="I143" s="183" t="s">
        <v>81</v>
      </c>
      <c r="J143" s="183"/>
      <c r="K143" s="183"/>
      <c r="L143" s="87" t="s">
        <v>82</v>
      </c>
      <c r="M143" s="130"/>
      <c r="N143" s="130"/>
    </row>
    <row r="144" spans="1:14" ht="15" x14ac:dyDescent="0.25">
      <c r="A144" s="98" t="s">
        <v>37</v>
      </c>
      <c r="B144" s="99" t="s">
        <v>109</v>
      </c>
      <c r="C144" s="93"/>
      <c r="D144" s="93"/>
      <c r="E144" s="100">
        <f>+E142-E143</f>
        <v>275347.40000000002</v>
      </c>
      <c r="F144" s="95"/>
      <c r="H144" s="20" t="s">
        <v>42</v>
      </c>
      <c r="I144" s="12" t="s">
        <v>303</v>
      </c>
      <c r="J144" s="12"/>
      <c r="K144" s="12"/>
      <c r="L144" s="16">
        <f>+R93</f>
        <v>0</v>
      </c>
      <c r="M144" s="130"/>
      <c r="N144" s="130"/>
    </row>
    <row r="145" spans="1:14" x14ac:dyDescent="0.2">
      <c r="A145" s="96" t="s">
        <v>36</v>
      </c>
      <c r="B145" s="93" t="s">
        <v>1</v>
      </c>
      <c r="C145" s="93"/>
      <c r="D145" s="93"/>
      <c r="E145" s="97">
        <f>VLOOKUP(E144,Tarifas!N3:Q16,1)</f>
        <v>160577.66</v>
      </c>
      <c r="F145" s="95"/>
      <c r="H145" s="20" t="s">
        <v>42</v>
      </c>
      <c r="I145" s="33" t="s">
        <v>304</v>
      </c>
      <c r="J145" s="33"/>
      <c r="K145" s="33"/>
      <c r="L145" s="22">
        <f>+Q113</f>
        <v>0</v>
      </c>
      <c r="M145" s="130"/>
      <c r="N145" s="130"/>
    </row>
    <row r="146" spans="1:14" ht="15" x14ac:dyDescent="0.25">
      <c r="A146" s="96" t="s">
        <v>37</v>
      </c>
      <c r="B146" s="93" t="s">
        <v>38</v>
      </c>
      <c r="C146" s="93"/>
      <c r="D146" s="93"/>
      <c r="E146" s="94">
        <f>+E144-E145</f>
        <v>114769.74000000002</v>
      </c>
      <c r="F146" s="95"/>
      <c r="H146" s="36" t="s">
        <v>37</v>
      </c>
      <c r="I146" s="14" t="s">
        <v>214</v>
      </c>
      <c r="J146" s="14"/>
      <c r="K146" s="14"/>
      <c r="L146" s="40">
        <f>SUM(L144:L145)</f>
        <v>0</v>
      </c>
      <c r="M146" s="130"/>
      <c r="N146" s="130"/>
    </row>
    <row r="147" spans="1:14" x14ac:dyDescent="0.2">
      <c r="A147" s="96" t="s">
        <v>39</v>
      </c>
      <c r="B147" s="93" t="s">
        <v>40</v>
      </c>
      <c r="C147" s="93"/>
      <c r="D147" s="93"/>
      <c r="E147" s="101">
        <f>VLOOKUP(E144,Tarifas!N3:Q16,4)/100</f>
        <v>0.21359999999999998</v>
      </c>
      <c r="F147" s="95"/>
      <c r="M147" s="130"/>
      <c r="N147" s="130"/>
    </row>
    <row r="148" spans="1:14" ht="15" x14ac:dyDescent="0.25">
      <c r="A148" s="96" t="s">
        <v>37</v>
      </c>
      <c r="B148" s="93" t="s">
        <v>41</v>
      </c>
      <c r="C148" s="93"/>
      <c r="D148" s="93"/>
      <c r="E148" s="94">
        <f>+E146*E147</f>
        <v>24514.816464000003</v>
      </c>
      <c r="F148" s="95"/>
      <c r="H148" s="135"/>
      <c r="I148" s="133"/>
      <c r="J148" s="133"/>
      <c r="K148" s="133"/>
      <c r="L148" s="136"/>
      <c r="M148" s="130"/>
      <c r="N148" s="130"/>
    </row>
    <row r="149" spans="1:14" ht="15" x14ac:dyDescent="0.25">
      <c r="A149" s="96" t="s">
        <v>42</v>
      </c>
      <c r="B149" s="93" t="s">
        <v>3</v>
      </c>
      <c r="C149" s="93"/>
      <c r="D149" s="93"/>
      <c r="E149" s="97">
        <f>VLOOKUP(E144,Tarifas!N3:Q16,3)</f>
        <v>17005.47</v>
      </c>
      <c r="F149" s="95"/>
      <c r="H149" s="135"/>
      <c r="I149" s="133"/>
      <c r="J149" s="133"/>
      <c r="K149" s="133"/>
      <c r="L149" s="134"/>
      <c r="M149" s="130"/>
      <c r="N149" s="130"/>
    </row>
    <row r="150" spans="1:14" ht="15" x14ac:dyDescent="0.25">
      <c r="A150" s="98" t="s">
        <v>37</v>
      </c>
      <c r="B150" s="99" t="s">
        <v>43</v>
      </c>
      <c r="C150" s="99"/>
      <c r="D150" s="99"/>
      <c r="E150" s="100">
        <f>+E148+E149</f>
        <v>41520.286464000004</v>
      </c>
      <c r="F150" s="95"/>
    </row>
    <row r="151" spans="1:14" x14ac:dyDescent="0.2">
      <c r="A151" s="96" t="s">
        <v>36</v>
      </c>
      <c r="B151" s="93" t="s">
        <v>110</v>
      </c>
      <c r="C151" s="93"/>
      <c r="D151" s="93"/>
      <c r="E151" s="102">
        <f>+L142</f>
        <v>0</v>
      </c>
      <c r="F151" s="95"/>
    </row>
    <row r="152" spans="1:14" ht="15" thickBot="1" x14ac:dyDescent="0.25">
      <c r="A152" s="96" t="s">
        <v>36</v>
      </c>
      <c r="B152" s="93" t="s">
        <v>124</v>
      </c>
      <c r="C152" s="93"/>
      <c r="D152" s="93"/>
      <c r="E152" s="97">
        <f>+L139</f>
        <v>56366.254112000002</v>
      </c>
      <c r="F152" s="95"/>
    </row>
    <row r="153" spans="1:14" ht="15.75" thickBot="1" x14ac:dyDescent="0.3">
      <c r="A153" s="98" t="s">
        <v>37</v>
      </c>
      <c r="B153" s="99" t="s">
        <v>125</v>
      </c>
      <c r="C153" s="93"/>
      <c r="D153" s="93"/>
      <c r="E153" s="119">
        <f>+E150-E151-E152</f>
        <v>-14845.967647999998</v>
      </c>
      <c r="F153" s="95"/>
    </row>
  </sheetData>
  <mergeCells count="14">
    <mergeCell ref="B13:D13"/>
    <mergeCell ref="B20:D20"/>
    <mergeCell ref="B25:C25"/>
    <mergeCell ref="B42:D42"/>
    <mergeCell ref="B49:D49"/>
    <mergeCell ref="A60:D60"/>
    <mergeCell ref="A66:D66"/>
    <mergeCell ref="A100:D100"/>
    <mergeCell ref="I143:K143"/>
    <mergeCell ref="B118:D118"/>
    <mergeCell ref="I118:K118"/>
    <mergeCell ref="I129:K129"/>
    <mergeCell ref="B135:D135"/>
    <mergeCell ref="I135:K135"/>
  </mergeCells>
  <pageMargins left="0.7" right="0.7" top="0.75" bottom="0.75" header="0.3" footer="0.3"/>
  <pageSetup orientation="portrait" r:id="rId1"/>
  <ignoredErrors>
    <ignoredError sqref="E143 E145" formula="1"/>
  </ignoredError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59C1A6-3C90-42E4-A12B-D258BE2F896C}">
  <sheetPr>
    <tabColor rgb="FFC00000"/>
  </sheetPr>
  <dimension ref="A10:R134"/>
  <sheetViews>
    <sheetView topLeftCell="A91" workbookViewId="0">
      <selection activeCell="M101" sqref="M101"/>
    </sheetView>
  </sheetViews>
  <sheetFormatPr baseColWidth="10" defaultRowHeight="14.25" x14ac:dyDescent="0.2"/>
  <cols>
    <col min="1" max="1" width="3.875" style="1" customWidth="1"/>
    <col min="2" max="3" width="11" style="1"/>
    <col min="4" max="4" width="13" style="1" customWidth="1"/>
    <col min="5" max="5" width="12.625" style="1" customWidth="1"/>
    <col min="6" max="6" width="12" style="1" bestFit="1" customWidth="1"/>
    <col min="7" max="12" width="11" style="1"/>
    <col min="13" max="13" width="12.25" style="1" customWidth="1"/>
    <col min="14" max="14" width="11.5" style="1" customWidth="1"/>
    <col min="15" max="16" width="11" style="1"/>
    <col min="17" max="17" width="12.375" style="1" customWidth="1"/>
    <col min="18" max="16384" width="11" style="1"/>
  </cols>
  <sheetData>
    <row r="10" spans="2:7" ht="15" x14ac:dyDescent="0.25">
      <c r="B10" s="89" t="s">
        <v>308</v>
      </c>
    </row>
    <row r="12" spans="2:7" ht="15" x14ac:dyDescent="0.25">
      <c r="B12" s="29" t="s">
        <v>61</v>
      </c>
    </row>
    <row r="13" spans="2:7" ht="15" x14ac:dyDescent="0.25">
      <c r="B13" s="183" t="s">
        <v>24</v>
      </c>
      <c r="C13" s="183"/>
      <c r="D13" s="183"/>
      <c r="E13" s="118">
        <v>2019</v>
      </c>
      <c r="F13" s="118">
        <v>2020</v>
      </c>
      <c r="G13" s="118">
        <v>2021</v>
      </c>
    </row>
    <row r="14" spans="2:7" x14ac:dyDescent="0.2">
      <c r="B14" s="12" t="s">
        <v>25</v>
      </c>
      <c r="C14" s="12"/>
      <c r="D14" s="12"/>
      <c r="E14" s="13">
        <v>102.68</v>
      </c>
      <c r="F14" s="13">
        <v>123.22</v>
      </c>
      <c r="G14" s="19">
        <v>141.69999999999999</v>
      </c>
    </row>
    <row r="15" spans="2:7" x14ac:dyDescent="0.2">
      <c r="B15" s="12" t="s">
        <v>26</v>
      </c>
      <c r="C15" s="12"/>
      <c r="D15" s="12"/>
      <c r="E15" s="13">
        <v>176.72</v>
      </c>
      <c r="F15" s="13">
        <v>185.56</v>
      </c>
      <c r="G15" s="19">
        <v>213.39</v>
      </c>
    </row>
    <row r="16" spans="2:7" x14ac:dyDescent="0.2">
      <c r="B16" s="12" t="s">
        <v>28</v>
      </c>
      <c r="C16" s="12"/>
      <c r="D16" s="12"/>
      <c r="E16" s="13">
        <v>84.49</v>
      </c>
      <c r="F16" s="13">
        <v>86.88</v>
      </c>
      <c r="G16" s="19">
        <v>89.62</v>
      </c>
    </row>
    <row r="17" spans="1:13" x14ac:dyDescent="0.2">
      <c r="B17" s="12" t="s">
        <v>29</v>
      </c>
      <c r="C17" s="12"/>
      <c r="D17" s="12"/>
      <c r="E17" s="16">
        <v>30822</v>
      </c>
      <c r="F17" s="16">
        <v>31693.8</v>
      </c>
      <c r="G17" s="19">
        <v>32693.4</v>
      </c>
    </row>
    <row r="19" spans="1:13" ht="15" x14ac:dyDescent="0.25">
      <c r="B19" s="29" t="s">
        <v>309</v>
      </c>
    </row>
    <row r="21" spans="1:13" ht="15" x14ac:dyDescent="0.25">
      <c r="E21" s="29" t="s">
        <v>310</v>
      </c>
      <c r="F21" s="137"/>
      <c r="G21" s="137"/>
      <c r="H21" s="137"/>
      <c r="I21" s="137"/>
      <c r="J21" s="137"/>
      <c r="K21" s="137"/>
      <c r="L21" s="137"/>
      <c r="M21" s="137"/>
    </row>
    <row r="22" spans="1:13" ht="15" x14ac:dyDescent="0.25">
      <c r="B22" s="183" t="s">
        <v>323</v>
      </c>
      <c r="C22" s="183"/>
      <c r="D22" s="183"/>
      <c r="E22" s="183"/>
      <c r="F22" s="137"/>
      <c r="G22" s="137"/>
      <c r="H22" s="137"/>
      <c r="I22" s="137"/>
      <c r="J22" s="137"/>
      <c r="K22" s="137"/>
      <c r="L22" s="137"/>
      <c r="M22" s="137"/>
    </row>
    <row r="23" spans="1:13" x14ac:dyDescent="0.2">
      <c r="B23" s="1" t="s">
        <v>311</v>
      </c>
      <c r="D23" s="138">
        <v>365000</v>
      </c>
      <c r="F23" s="137"/>
      <c r="G23" s="137"/>
      <c r="H23" s="137"/>
      <c r="I23" s="137"/>
      <c r="J23" s="137"/>
      <c r="K23" s="137"/>
      <c r="L23" s="137"/>
      <c r="M23" s="137"/>
    </row>
    <row r="24" spans="1:13" x14ac:dyDescent="0.2">
      <c r="B24" s="1" t="s">
        <v>312</v>
      </c>
      <c r="D24" s="1" t="s">
        <v>360</v>
      </c>
      <c r="F24" s="137"/>
      <c r="G24" s="137"/>
      <c r="H24" s="137"/>
      <c r="I24" s="137"/>
      <c r="J24" s="137"/>
      <c r="K24" s="137"/>
      <c r="L24" s="137"/>
      <c r="M24" s="137"/>
    </row>
    <row r="25" spans="1:13" x14ac:dyDescent="0.2">
      <c r="B25" s="1" t="s">
        <v>199</v>
      </c>
      <c r="D25" s="138">
        <v>290000</v>
      </c>
      <c r="F25" s="137"/>
      <c r="G25" s="137"/>
      <c r="H25" s="137"/>
      <c r="I25" s="137"/>
      <c r="J25" s="137"/>
      <c r="K25" s="137"/>
      <c r="L25" s="137"/>
      <c r="M25" s="137"/>
    </row>
    <row r="26" spans="1:13" x14ac:dyDescent="0.2">
      <c r="B26" s="1" t="s">
        <v>313</v>
      </c>
      <c r="D26" s="1" t="s">
        <v>361</v>
      </c>
      <c r="F26" s="137"/>
      <c r="G26" s="137"/>
      <c r="H26" s="137"/>
      <c r="I26" s="137"/>
      <c r="J26" s="137"/>
      <c r="K26" s="137"/>
      <c r="L26" s="137"/>
      <c r="M26" s="137"/>
    </row>
    <row r="27" spans="1:13" x14ac:dyDescent="0.2">
      <c r="B27" s="1" t="s">
        <v>314</v>
      </c>
      <c r="D27" s="139">
        <v>0.25</v>
      </c>
      <c r="F27" s="137"/>
      <c r="G27" s="137"/>
      <c r="H27" s="137"/>
      <c r="I27" s="137"/>
      <c r="J27" s="137"/>
      <c r="K27" s="137"/>
      <c r="L27" s="137"/>
      <c r="M27" s="137"/>
    </row>
    <row r="28" spans="1:13" x14ac:dyDescent="0.2">
      <c r="F28" s="137"/>
      <c r="G28" s="137"/>
      <c r="H28" s="137"/>
      <c r="I28" s="137"/>
      <c r="J28" s="137"/>
      <c r="K28" s="137"/>
      <c r="L28" s="137"/>
      <c r="M28" s="137"/>
    </row>
    <row r="29" spans="1:13" ht="15" x14ac:dyDescent="0.25">
      <c r="B29" s="15" t="s">
        <v>315</v>
      </c>
      <c r="F29" s="137"/>
      <c r="G29" s="137"/>
      <c r="H29" s="137"/>
      <c r="I29" s="137"/>
      <c r="J29" s="137"/>
      <c r="K29" s="137"/>
      <c r="L29" s="137"/>
      <c r="M29" s="137"/>
    </row>
    <row r="30" spans="1:13" x14ac:dyDescent="0.2">
      <c r="B30" s="1" t="s">
        <v>316</v>
      </c>
      <c r="E30" s="1">
        <f>+D23</f>
        <v>365000</v>
      </c>
      <c r="F30" s="137"/>
      <c r="G30" s="137"/>
      <c r="H30" s="137"/>
      <c r="I30" s="137"/>
      <c r="J30" s="137"/>
      <c r="K30" s="137"/>
      <c r="L30" s="137"/>
      <c r="M30" s="137"/>
    </row>
    <row r="31" spans="1:13" x14ac:dyDescent="0.2">
      <c r="A31" s="76" t="s">
        <v>36</v>
      </c>
      <c r="B31" s="32" t="s">
        <v>317</v>
      </c>
      <c r="C31" s="32"/>
      <c r="D31" s="32"/>
      <c r="E31" s="32">
        <f>+D23*0.25</f>
        <v>91250</v>
      </c>
      <c r="F31" s="137"/>
      <c r="G31" s="137"/>
      <c r="H31" s="137"/>
      <c r="I31" s="137"/>
      <c r="J31" s="137"/>
      <c r="K31" s="137"/>
      <c r="L31" s="137"/>
      <c r="M31" s="137"/>
    </row>
    <row r="32" spans="1:13" x14ac:dyDescent="0.2">
      <c r="A32" s="76" t="s">
        <v>36</v>
      </c>
      <c r="B32" s="25" t="s">
        <v>362</v>
      </c>
      <c r="C32" s="25"/>
      <c r="D32" s="25"/>
      <c r="E32" s="25">
        <f>+D23*0.25/12*6</f>
        <v>45625</v>
      </c>
      <c r="F32" s="137"/>
      <c r="G32" s="137"/>
      <c r="H32" s="137"/>
      <c r="I32" s="137"/>
      <c r="J32" s="137"/>
      <c r="K32" s="137"/>
      <c r="L32" s="137"/>
      <c r="M32" s="137"/>
    </row>
    <row r="33" spans="1:17" ht="15" x14ac:dyDescent="0.25">
      <c r="A33" s="77" t="s">
        <v>37</v>
      </c>
      <c r="B33" s="15" t="s">
        <v>318</v>
      </c>
      <c r="E33" s="15">
        <f>+E30-E31-E32</f>
        <v>228125</v>
      </c>
      <c r="F33" s="137"/>
      <c r="G33" s="137"/>
      <c r="H33" s="137"/>
      <c r="I33" s="137"/>
      <c r="J33" s="137"/>
      <c r="K33" s="137"/>
      <c r="L33" s="137"/>
      <c r="M33" s="137"/>
    </row>
    <row r="34" spans="1:17" x14ac:dyDescent="0.2">
      <c r="F34" s="137"/>
      <c r="G34" s="137"/>
      <c r="H34" s="137"/>
      <c r="I34" s="137"/>
      <c r="J34" s="137"/>
      <c r="K34" s="137"/>
      <c r="L34" s="137"/>
      <c r="M34" s="137"/>
    </row>
    <row r="35" spans="1:17" ht="15" x14ac:dyDescent="0.25">
      <c r="B35" s="33" t="s">
        <v>363</v>
      </c>
      <c r="C35" s="25"/>
      <c r="D35" s="74">
        <f>+INPC!B645</f>
        <v>111.824</v>
      </c>
      <c r="E35" s="140">
        <f>TRUNC(D35/D36, 4)</f>
        <v>1.0556000000000001</v>
      </c>
      <c r="F35" s="137"/>
      <c r="G35" s="141" t="s">
        <v>12</v>
      </c>
      <c r="H35" s="141" t="s">
        <v>16</v>
      </c>
      <c r="I35" s="142" t="s">
        <v>20</v>
      </c>
      <c r="J35" s="141" t="s">
        <v>13</v>
      </c>
      <c r="K35" s="141" t="s">
        <v>17</v>
      </c>
      <c r="L35" s="141" t="s">
        <v>21</v>
      </c>
      <c r="M35" s="143" t="s">
        <v>14</v>
      </c>
    </row>
    <row r="36" spans="1:17" x14ac:dyDescent="0.2">
      <c r="B36" s="12" t="s">
        <v>364</v>
      </c>
      <c r="D36" s="73">
        <f>+INPC!B630</f>
        <v>105.934</v>
      </c>
      <c r="F36" s="137"/>
      <c r="G36" s="137"/>
      <c r="H36" s="137"/>
      <c r="I36" s="137"/>
      <c r="J36" s="137"/>
      <c r="K36" s="137"/>
      <c r="L36" s="137"/>
      <c r="M36" s="137"/>
    </row>
    <row r="37" spans="1:17" x14ac:dyDescent="0.2">
      <c r="F37" s="137"/>
      <c r="G37" s="137"/>
      <c r="H37" s="137"/>
      <c r="I37" s="137"/>
      <c r="J37" s="137"/>
      <c r="K37" s="137"/>
      <c r="L37" s="137"/>
      <c r="M37" s="137"/>
    </row>
    <row r="38" spans="1:17" ht="15" x14ac:dyDescent="0.25">
      <c r="B38" s="15" t="s">
        <v>319</v>
      </c>
      <c r="E38" s="144">
        <f>+E33*E35</f>
        <v>240808.75000000003</v>
      </c>
      <c r="F38" s="137"/>
      <c r="G38" s="137"/>
      <c r="H38" s="137"/>
      <c r="I38" s="137"/>
      <c r="J38" s="137"/>
      <c r="K38" s="137"/>
      <c r="L38" s="137"/>
      <c r="M38" s="137"/>
    </row>
    <row r="39" spans="1:17" x14ac:dyDescent="0.2">
      <c r="F39" s="137"/>
      <c r="G39" s="137"/>
      <c r="H39" s="137"/>
      <c r="I39" s="137"/>
      <c r="J39" s="137"/>
      <c r="K39" s="137"/>
      <c r="L39" s="137"/>
      <c r="M39" s="137"/>
    </row>
    <row r="40" spans="1:17" ht="15" x14ac:dyDescent="0.25">
      <c r="B40" s="15" t="s">
        <v>320</v>
      </c>
      <c r="F40" s="137"/>
      <c r="G40" s="137"/>
      <c r="H40" s="137"/>
      <c r="I40" s="137"/>
      <c r="J40" s="137"/>
      <c r="K40" s="137"/>
      <c r="L40" s="137"/>
      <c r="M40" s="137"/>
    </row>
    <row r="41" spans="1:17" x14ac:dyDescent="0.2">
      <c r="B41" s="1" t="s">
        <v>199</v>
      </c>
      <c r="E41" s="1">
        <f>+D25</f>
        <v>290000</v>
      </c>
      <c r="F41" s="137"/>
      <c r="G41" s="137"/>
      <c r="H41" s="137"/>
      <c r="I41" s="137"/>
      <c r="J41" s="137"/>
      <c r="K41" s="137"/>
      <c r="L41" s="137"/>
      <c r="M41" s="137"/>
    </row>
    <row r="42" spans="1:17" x14ac:dyDescent="0.2">
      <c r="A42" s="76" t="s">
        <v>36</v>
      </c>
      <c r="B42" s="25" t="s">
        <v>319</v>
      </c>
      <c r="C42" s="25"/>
      <c r="D42" s="25"/>
      <c r="E42" s="25">
        <f>+E38</f>
        <v>240808.75000000003</v>
      </c>
      <c r="F42" s="137"/>
      <c r="G42" s="137"/>
      <c r="H42" s="137"/>
      <c r="I42" s="137"/>
      <c r="J42" s="137"/>
      <c r="K42" s="137"/>
      <c r="L42" s="137"/>
      <c r="M42" s="137"/>
    </row>
    <row r="43" spans="1:17" ht="15" x14ac:dyDescent="0.25">
      <c r="A43" s="77" t="s">
        <v>37</v>
      </c>
      <c r="B43" s="15" t="s">
        <v>321</v>
      </c>
      <c r="E43" s="145">
        <f>+E41-E42</f>
        <v>49191.249999999971</v>
      </c>
      <c r="F43" s="137"/>
      <c r="G43" s="146"/>
      <c r="H43" s="137"/>
      <c r="I43" s="137"/>
      <c r="J43" s="137"/>
      <c r="K43" s="137"/>
      <c r="L43" s="137"/>
      <c r="M43" s="137"/>
    </row>
    <row r="46" spans="1:17" ht="15" x14ac:dyDescent="0.25">
      <c r="B46" s="29" t="s">
        <v>338</v>
      </c>
    </row>
    <row r="48" spans="1:17" ht="38.25" x14ac:dyDescent="0.25">
      <c r="A48" s="137"/>
      <c r="B48" s="186" t="s">
        <v>34</v>
      </c>
      <c r="C48" s="186"/>
      <c r="D48" s="186"/>
      <c r="E48" s="174" t="s">
        <v>324</v>
      </c>
      <c r="F48" s="176" t="s">
        <v>311</v>
      </c>
      <c r="G48" s="175" t="s">
        <v>325</v>
      </c>
      <c r="H48" s="175" t="s">
        <v>365</v>
      </c>
      <c r="I48" s="175" t="s">
        <v>335</v>
      </c>
      <c r="J48" s="175" t="s">
        <v>326</v>
      </c>
      <c r="K48" s="175" t="s">
        <v>327</v>
      </c>
      <c r="L48" s="175" t="s">
        <v>328</v>
      </c>
      <c r="M48" s="175" t="s">
        <v>329</v>
      </c>
      <c r="N48" s="175" t="s">
        <v>336</v>
      </c>
      <c r="O48" s="175" t="s">
        <v>337</v>
      </c>
      <c r="P48" s="175" t="s">
        <v>330</v>
      </c>
      <c r="Q48" s="175" t="s">
        <v>331</v>
      </c>
    </row>
    <row r="49" spans="1:18" x14ac:dyDescent="0.2">
      <c r="A49" s="137"/>
      <c r="B49" s="12" t="s">
        <v>332</v>
      </c>
      <c r="E49" s="147">
        <v>42856</v>
      </c>
      <c r="F49" s="13">
        <v>50000</v>
      </c>
      <c r="G49" s="148">
        <v>0.1</v>
      </c>
      <c r="H49" s="13">
        <v>17920</v>
      </c>
      <c r="I49" s="16">
        <f>+F49-H49</f>
        <v>32080</v>
      </c>
      <c r="J49" s="13">
        <f>+F49*G49</f>
        <v>5000</v>
      </c>
      <c r="K49" s="13">
        <f>+J49/12</f>
        <v>416.66666666666669</v>
      </c>
      <c r="L49" s="13">
        <v>12</v>
      </c>
      <c r="M49" s="13">
        <f>+K49*L49</f>
        <v>5000</v>
      </c>
      <c r="N49" s="149">
        <f>+INPC!B648</f>
        <v>113.018</v>
      </c>
      <c r="O49" s="149">
        <f>+INPC!B599</f>
        <v>94.725493999999998</v>
      </c>
      <c r="P49" s="12">
        <f>TRUNC(N49/O49, 4)</f>
        <v>1.1931</v>
      </c>
      <c r="Q49" s="13">
        <f>+M49*P49</f>
        <v>5965.5</v>
      </c>
    </row>
    <row r="50" spans="1:18" x14ac:dyDescent="0.2">
      <c r="A50" s="137"/>
      <c r="B50" s="12" t="s">
        <v>333</v>
      </c>
      <c r="E50" s="147">
        <v>43101</v>
      </c>
      <c r="F50" s="13">
        <v>240000</v>
      </c>
      <c r="G50" s="148">
        <v>0.25</v>
      </c>
      <c r="H50" s="13">
        <v>180000</v>
      </c>
      <c r="I50" s="16">
        <f t="shared" ref="I50:I51" si="0">+F50-H50</f>
        <v>60000</v>
      </c>
      <c r="J50" s="13">
        <f t="shared" ref="J50:J51" si="1">+F50*G50</f>
        <v>60000</v>
      </c>
      <c r="K50" s="13">
        <f t="shared" ref="K50:K51" si="2">+J50/12</f>
        <v>5000</v>
      </c>
      <c r="L50" s="13">
        <v>12</v>
      </c>
      <c r="M50" s="13">
        <f t="shared" ref="M50:M51" si="3">+K50*L50</f>
        <v>60000</v>
      </c>
      <c r="N50" s="149">
        <f>+INPC!B648</f>
        <v>113.018</v>
      </c>
      <c r="O50" s="149">
        <f>+INPC!B607</f>
        <v>98.795000000000002</v>
      </c>
      <c r="P50" s="12">
        <f t="shared" ref="P50:P51" si="4">TRUNC(N50/O50, 4)</f>
        <v>1.1438999999999999</v>
      </c>
      <c r="Q50" s="13">
        <f t="shared" ref="Q50:Q51" si="5">+M50*P50</f>
        <v>68634</v>
      </c>
    </row>
    <row r="51" spans="1:18" x14ac:dyDescent="0.2">
      <c r="A51" s="137"/>
      <c r="B51" s="12" t="s">
        <v>334</v>
      </c>
      <c r="E51" s="147">
        <v>43709</v>
      </c>
      <c r="F51" s="13">
        <v>150000</v>
      </c>
      <c r="G51" s="148">
        <v>0.3</v>
      </c>
      <c r="H51" s="13">
        <v>60000</v>
      </c>
      <c r="I51" s="16">
        <f t="shared" si="0"/>
        <v>90000</v>
      </c>
      <c r="J51" s="13">
        <f t="shared" si="1"/>
        <v>45000</v>
      </c>
      <c r="K51" s="13">
        <f t="shared" si="2"/>
        <v>3750</v>
      </c>
      <c r="L51" s="13">
        <v>12</v>
      </c>
      <c r="M51" s="13">
        <f t="shared" si="3"/>
        <v>45000</v>
      </c>
      <c r="N51" s="149">
        <f>+INPC!B648</f>
        <v>113.018</v>
      </c>
      <c r="O51" s="149">
        <f>+INPC!B627</f>
        <v>103.94199999999999</v>
      </c>
      <c r="P51" s="12">
        <f t="shared" si="4"/>
        <v>1.0872999999999999</v>
      </c>
      <c r="Q51" s="13">
        <f t="shared" si="5"/>
        <v>48928.5</v>
      </c>
    </row>
    <row r="52" spans="1:18" ht="15" x14ac:dyDescent="0.25">
      <c r="A52" s="137"/>
      <c r="B52" s="150" t="s">
        <v>126</v>
      </c>
      <c r="E52" s="12"/>
      <c r="F52" s="27">
        <f>SUM(F49:F51)</f>
        <v>440000</v>
      </c>
      <c r="G52" s="16"/>
      <c r="H52" s="27">
        <f>SUM(H49:H51)</f>
        <v>257920</v>
      </c>
      <c r="I52" s="27">
        <f>SUM(I49:I51)</f>
        <v>182080</v>
      </c>
      <c r="J52" s="27">
        <f>SUM(J49:J51)</f>
        <v>110000</v>
      </c>
      <c r="K52" s="27">
        <f>SUM(K49:K51)</f>
        <v>9166.6666666666679</v>
      </c>
      <c r="L52" s="12"/>
      <c r="M52" s="151">
        <f>SUM(M49:M51)</f>
        <v>110000</v>
      </c>
      <c r="N52" s="12"/>
      <c r="O52" s="12"/>
      <c r="P52" s="12"/>
      <c r="Q52" s="151">
        <f>SUM(Q49:Q51)</f>
        <v>123528</v>
      </c>
    </row>
    <row r="54" spans="1:18" ht="15" x14ac:dyDescent="0.25">
      <c r="F54" s="181" t="s">
        <v>12</v>
      </c>
      <c r="G54" s="181" t="s">
        <v>16</v>
      </c>
      <c r="H54" s="181" t="s">
        <v>20</v>
      </c>
      <c r="I54" s="181" t="s">
        <v>13</v>
      </c>
      <c r="J54" s="181" t="s">
        <v>17</v>
      </c>
      <c r="K54" s="181" t="s">
        <v>21</v>
      </c>
      <c r="L54" s="181" t="s">
        <v>14</v>
      </c>
      <c r="M54" s="181" t="s">
        <v>18</v>
      </c>
      <c r="N54" s="181" t="s">
        <v>22</v>
      </c>
      <c r="O54" s="181" t="s">
        <v>15</v>
      </c>
      <c r="P54" s="181" t="s">
        <v>19</v>
      </c>
      <c r="Q54" s="181" t="s">
        <v>23</v>
      </c>
    </row>
    <row r="55" spans="1:18" x14ac:dyDescent="0.2">
      <c r="F55" s="1">
        <f>+$M$52/12</f>
        <v>9166.6666666666661</v>
      </c>
      <c r="G55" s="1">
        <f t="shared" ref="G55:J55" si="6">+$M$52/12</f>
        <v>9166.6666666666661</v>
      </c>
      <c r="H55" s="1">
        <f t="shared" si="6"/>
        <v>9166.6666666666661</v>
      </c>
      <c r="I55" s="1">
        <f t="shared" si="6"/>
        <v>9166.6666666666661</v>
      </c>
      <c r="J55" s="1">
        <f t="shared" si="6"/>
        <v>9166.6666666666661</v>
      </c>
      <c r="K55" s="1">
        <v>15930.67</v>
      </c>
      <c r="L55" s="1">
        <f>+$Q$52/12</f>
        <v>10294</v>
      </c>
      <c r="M55" s="1">
        <f t="shared" ref="M55:Q55" si="7">+$Q$52/12</f>
        <v>10294</v>
      </c>
      <c r="N55" s="1">
        <f t="shared" si="7"/>
        <v>10294</v>
      </c>
      <c r="O55" s="1">
        <f t="shared" si="7"/>
        <v>10294</v>
      </c>
      <c r="P55" s="1">
        <f t="shared" si="7"/>
        <v>10294</v>
      </c>
      <c r="Q55" s="1">
        <f t="shared" si="7"/>
        <v>10294</v>
      </c>
    </row>
    <row r="56" spans="1:18" ht="15" x14ac:dyDescent="0.25">
      <c r="K56" s="182">
        <f>+Q52/12*6</f>
        <v>61764</v>
      </c>
      <c r="R56" s="151">
        <f>+Q52/12</f>
        <v>10294</v>
      </c>
    </row>
    <row r="58" spans="1:18" ht="15" x14ac:dyDescent="0.25">
      <c r="B58" s="29" t="s">
        <v>322</v>
      </c>
      <c r="E58" s="29" t="s">
        <v>346</v>
      </c>
    </row>
    <row r="59" spans="1:18" x14ac:dyDescent="0.2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</row>
    <row r="60" spans="1:18" ht="15" x14ac:dyDescent="0.25">
      <c r="A60" s="183" t="s">
        <v>81</v>
      </c>
      <c r="B60" s="183"/>
      <c r="C60" s="183"/>
      <c r="D60" s="183"/>
      <c r="E60" s="118"/>
      <c r="F60" s="118" t="s">
        <v>12</v>
      </c>
      <c r="G60" s="118" t="s">
        <v>16</v>
      </c>
      <c r="H60" s="118" t="s">
        <v>20</v>
      </c>
      <c r="I60" s="118" t="s">
        <v>13</v>
      </c>
      <c r="J60" s="118" t="s">
        <v>17</v>
      </c>
      <c r="K60" s="118" t="s">
        <v>21</v>
      </c>
      <c r="L60" s="118" t="s">
        <v>14</v>
      </c>
      <c r="M60" s="118" t="s">
        <v>18</v>
      </c>
      <c r="N60" s="118" t="s">
        <v>22</v>
      </c>
      <c r="O60" s="118" t="s">
        <v>15</v>
      </c>
      <c r="P60" s="118" t="s">
        <v>19</v>
      </c>
      <c r="Q60" s="118" t="s">
        <v>23</v>
      </c>
      <c r="R60" s="118" t="s">
        <v>126</v>
      </c>
    </row>
    <row r="61" spans="1:18" ht="15" x14ac:dyDescent="0.25">
      <c r="A61" s="12"/>
      <c r="B61" s="12" t="s">
        <v>127</v>
      </c>
      <c r="C61" s="12"/>
      <c r="D61" s="12"/>
      <c r="E61" s="12"/>
      <c r="F61" s="13">
        <v>60000</v>
      </c>
      <c r="G61" s="13">
        <v>75000</v>
      </c>
      <c r="H61" s="13">
        <v>36000</v>
      </c>
      <c r="I61" s="13">
        <v>12000</v>
      </c>
      <c r="J61" s="13">
        <v>5870</v>
      </c>
      <c r="K61" s="13">
        <v>78000</v>
      </c>
      <c r="L61" s="17">
        <f>96000+E43</f>
        <v>145191.24999999997</v>
      </c>
      <c r="M61" s="13">
        <v>120000</v>
      </c>
      <c r="N61" s="13">
        <v>89000</v>
      </c>
      <c r="O61" s="13">
        <v>75000</v>
      </c>
      <c r="P61" s="13">
        <v>32000</v>
      </c>
      <c r="Q61" s="13">
        <v>46000</v>
      </c>
      <c r="R61" s="15">
        <f>SUM(F61:Q61)</f>
        <v>774061.25</v>
      </c>
    </row>
    <row r="62" spans="1:18" ht="15" x14ac:dyDescent="0.25">
      <c r="A62" s="20" t="s">
        <v>42</v>
      </c>
      <c r="B62" s="12" t="s">
        <v>128</v>
      </c>
      <c r="C62" s="12"/>
      <c r="D62" s="12"/>
      <c r="E62" s="12"/>
      <c r="F62" s="13">
        <v>12500</v>
      </c>
      <c r="G62" s="13">
        <v>8900</v>
      </c>
      <c r="H62" s="13">
        <v>13600</v>
      </c>
      <c r="I62" s="13">
        <v>20000</v>
      </c>
      <c r="J62" s="13">
        <v>8965</v>
      </c>
      <c r="K62" s="13">
        <v>7500</v>
      </c>
      <c r="L62" s="13">
        <v>6200</v>
      </c>
      <c r="M62" s="13">
        <v>15000</v>
      </c>
      <c r="N62" s="13">
        <v>18000</v>
      </c>
      <c r="O62" s="13">
        <v>20000</v>
      </c>
      <c r="P62" s="13">
        <v>35000</v>
      </c>
      <c r="Q62" s="13">
        <v>25000</v>
      </c>
      <c r="R62" s="15">
        <f t="shared" ref="R62:R63" si="8">SUM(F62:Q62)</f>
        <v>190665</v>
      </c>
    </row>
    <row r="63" spans="1:18" ht="15" x14ac:dyDescent="0.25">
      <c r="A63" s="26" t="s">
        <v>37</v>
      </c>
      <c r="B63" s="14" t="s">
        <v>129</v>
      </c>
      <c r="C63" s="12"/>
      <c r="D63" s="12"/>
      <c r="E63" s="12"/>
      <c r="F63" s="15">
        <f t="shared" ref="F63:Q63" si="9">SUM(F61:F62)</f>
        <v>72500</v>
      </c>
      <c r="G63" s="15">
        <f t="shared" si="9"/>
        <v>83900</v>
      </c>
      <c r="H63" s="15">
        <f t="shared" si="9"/>
        <v>49600</v>
      </c>
      <c r="I63" s="15">
        <f t="shared" si="9"/>
        <v>32000</v>
      </c>
      <c r="J63" s="15">
        <f t="shared" si="9"/>
        <v>14835</v>
      </c>
      <c r="K63" s="15">
        <f t="shared" si="9"/>
        <v>85500</v>
      </c>
      <c r="L63" s="15">
        <f t="shared" si="9"/>
        <v>151391.24999999997</v>
      </c>
      <c r="M63" s="15">
        <f t="shared" si="9"/>
        <v>135000</v>
      </c>
      <c r="N63" s="15">
        <f t="shared" si="9"/>
        <v>107000</v>
      </c>
      <c r="O63" s="15">
        <f t="shared" si="9"/>
        <v>95000</v>
      </c>
      <c r="P63" s="15">
        <f t="shared" si="9"/>
        <v>67000</v>
      </c>
      <c r="Q63" s="15">
        <f t="shared" si="9"/>
        <v>71000</v>
      </c>
      <c r="R63" s="15">
        <f t="shared" si="8"/>
        <v>964726.25</v>
      </c>
    </row>
    <row r="64" spans="1:18" x14ac:dyDescent="0.2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</row>
    <row r="65" spans="1:18" ht="15" x14ac:dyDescent="0.25">
      <c r="A65" s="12"/>
      <c r="B65" s="29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</row>
    <row r="66" spans="1:18" ht="15" x14ac:dyDescent="0.25">
      <c r="A66" s="183" t="s">
        <v>81</v>
      </c>
      <c r="B66" s="183"/>
      <c r="C66" s="183"/>
      <c r="D66" s="183"/>
      <c r="E66" s="118"/>
      <c r="F66" s="118" t="s">
        <v>12</v>
      </c>
      <c r="G66" s="118" t="s">
        <v>16</v>
      </c>
      <c r="H66" s="118" t="s">
        <v>20</v>
      </c>
      <c r="I66" s="118" t="s">
        <v>13</v>
      </c>
      <c r="J66" s="118" t="s">
        <v>17</v>
      </c>
      <c r="K66" s="118" t="s">
        <v>21</v>
      </c>
      <c r="L66" s="118" t="s">
        <v>14</v>
      </c>
      <c r="M66" s="118" t="s">
        <v>18</v>
      </c>
      <c r="N66" s="118" t="s">
        <v>22</v>
      </c>
      <c r="O66" s="118" t="s">
        <v>15</v>
      </c>
      <c r="P66" s="118" t="s">
        <v>19</v>
      </c>
      <c r="Q66" s="118" t="s">
        <v>23</v>
      </c>
      <c r="R66" s="118" t="s">
        <v>126</v>
      </c>
    </row>
    <row r="67" spans="1:18" ht="15" x14ac:dyDescent="0.25">
      <c r="A67" s="12"/>
      <c r="B67" s="12" t="s">
        <v>130</v>
      </c>
      <c r="C67" s="12"/>
      <c r="D67" s="12"/>
      <c r="E67" s="12"/>
      <c r="F67" s="13">
        <f>+F63</f>
        <v>72500</v>
      </c>
      <c r="G67" s="13">
        <f>+G63</f>
        <v>83900</v>
      </c>
      <c r="H67" s="13">
        <f t="shared" ref="H67:Q67" si="10">+H63</f>
        <v>49600</v>
      </c>
      <c r="I67" s="13">
        <f t="shared" si="10"/>
        <v>32000</v>
      </c>
      <c r="J67" s="13">
        <f t="shared" si="10"/>
        <v>14835</v>
      </c>
      <c r="K67" s="13">
        <f t="shared" si="10"/>
        <v>85500</v>
      </c>
      <c r="L67" s="13">
        <f t="shared" si="10"/>
        <v>151391.24999999997</v>
      </c>
      <c r="M67" s="13">
        <f t="shared" si="10"/>
        <v>135000</v>
      </c>
      <c r="N67" s="13">
        <f t="shared" si="10"/>
        <v>107000</v>
      </c>
      <c r="O67" s="13">
        <f t="shared" si="10"/>
        <v>95000</v>
      </c>
      <c r="P67" s="13">
        <f t="shared" si="10"/>
        <v>67000</v>
      </c>
      <c r="Q67" s="13">
        <f t="shared" si="10"/>
        <v>71000</v>
      </c>
      <c r="R67" s="15">
        <f>SUM(F67:Q67)</f>
        <v>964726.25</v>
      </c>
    </row>
    <row r="68" spans="1:18" x14ac:dyDescent="0.2">
      <c r="A68" s="20" t="s">
        <v>42</v>
      </c>
      <c r="B68" s="12" t="s">
        <v>131</v>
      </c>
      <c r="C68" s="12"/>
      <c r="D68" s="12"/>
      <c r="E68" s="12"/>
      <c r="F68" s="13">
        <v>0</v>
      </c>
      <c r="G68" s="13">
        <f>+F69</f>
        <v>72500</v>
      </c>
      <c r="H68" s="13">
        <f t="shared" ref="H68:Q68" si="11">+G69</f>
        <v>156400</v>
      </c>
      <c r="I68" s="13">
        <f t="shared" si="11"/>
        <v>206000</v>
      </c>
      <c r="J68" s="13">
        <f t="shared" si="11"/>
        <v>238000</v>
      </c>
      <c r="K68" s="13">
        <f t="shared" si="11"/>
        <v>252835</v>
      </c>
      <c r="L68" s="13">
        <f t="shared" si="11"/>
        <v>338335</v>
      </c>
      <c r="M68" s="13">
        <f t="shared" si="11"/>
        <v>489726.25</v>
      </c>
      <c r="N68" s="13">
        <f t="shared" si="11"/>
        <v>624726.25</v>
      </c>
      <c r="O68" s="13">
        <f t="shared" si="11"/>
        <v>731726.25</v>
      </c>
      <c r="P68" s="13">
        <f t="shared" si="11"/>
        <v>826726.25</v>
      </c>
      <c r="Q68" s="13">
        <f t="shared" si="11"/>
        <v>893726.25</v>
      </c>
      <c r="R68" s="13"/>
    </row>
    <row r="69" spans="1:18" ht="15" x14ac:dyDescent="0.25">
      <c r="A69" s="26" t="s">
        <v>37</v>
      </c>
      <c r="B69" s="14" t="s">
        <v>129</v>
      </c>
      <c r="C69" s="12"/>
      <c r="D69" s="12"/>
      <c r="E69" s="12"/>
      <c r="F69" s="15">
        <f t="shared" ref="F69:Q69" si="12">SUM(F67:F68)</f>
        <v>72500</v>
      </c>
      <c r="G69" s="15">
        <f t="shared" si="12"/>
        <v>156400</v>
      </c>
      <c r="H69" s="15">
        <f t="shared" si="12"/>
        <v>206000</v>
      </c>
      <c r="I69" s="15">
        <f t="shared" si="12"/>
        <v>238000</v>
      </c>
      <c r="J69" s="15">
        <f t="shared" si="12"/>
        <v>252835</v>
      </c>
      <c r="K69" s="15">
        <f t="shared" si="12"/>
        <v>338335</v>
      </c>
      <c r="L69" s="15">
        <f t="shared" si="12"/>
        <v>489726.25</v>
      </c>
      <c r="M69" s="15">
        <f t="shared" si="12"/>
        <v>624726.25</v>
      </c>
      <c r="N69" s="15">
        <f t="shared" si="12"/>
        <v>731726.25</v>
      </c>
      <c r="O69" s="15">
        <f t="shared" si="12"/>
        <v>826726.25</v>
      </c>
      <c r="P69" s="15">
        <f t="shared" si="12"/>
        <v>893726.25</v>
      </c>
      <c r="Q69" s="15">
        <f t="shared" si="12"/>
        <v>964726.25</v>
      </c>
      <c r="R69" s="13"/>
    </row>
    <row r="70" spans="1:18" x14ac:dyDescent="0.2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</row>
    <row r="71" spans="1:18" ht="15" x14ac:dyDescent="0.25">
      <c r="A71" s="12"/>
      <c r="B71" s="12" t="s">
        <v>132</v>
      </c>
      <c r="C71" s="12"/>
      <c r="D71" s="12"/>
      <c r="E71" s="12"/>
      <c r="F71" s="13">
        <f>6000+10166.33</f>
        <v>16166.33</v>
      </c>
      <c r="G71" s="13">
        <f>8900+10166.33</f>
        <v>19066.330000000002</v>
      </c>
      <c r="H71" s="13">
        <f>12000+10166.33</f>
        <v>22166.33</v>
      </c>
      <c r="I71" s="13">
        <f>10002+10166.33</f>
        <v>20168.330000000002</v>
      </c>
      <c r="J71" s="13">
        <f>7375+10166.33</f>
        <v>17541.330000000002</v>
      </c>
      <c r="K71" s="13">
        <f>6890+10166.33</f>
        <v>17056.330000000002</v>
      </c>
      <c r="L71" s="13">
        <f>9800+10166.33</f>
        <v>19966.330000000002</v>
      </c>
      <c r="M71" s="13">
        <f>13000+10166.33</f>
        <v>23166.33</v>
      </c>
      <c r="N71" s="13">
        <f>17900+10166.33</f>
        <v>28066.33</v>
      </c>
      <c r="O71" s="13">
        <f>16000+10166.33</f>
        <v>26166.33</v>
      </c>
      <c r="P71" s="13">
        <f>21000+10166.33</f>
        <v>31166.33</v>
      </c>
      <c r="Q71" s="13">
        <f>8000+10166.33</f>
        <v>18166.330000000002</v>
      </c>
      <c r="R71" s="15">
        <f>SUM(F71:Q71)</f>
        <v>258862.96000000008</v>
      </c>
    </row>
    <row r="72" spans="1:18" ht="15" x14ac:dyDescent="0.25">
      <c r="A72" s="12"/>
      <c r="B72" s="12" t="s">
        <v>391</v>
      </c>
      <c r="C72" s="12"/>
      <c r="D72" s="12"/>
      <c r="E72" s="12"/>
      <c r="F72" s="13">
        <f>+F55</f>
        <v>9166.6666666666661</v>
      </c>
      <c r="G72" s="13">
        <f t="shared" ref="G72:Q72" si="13">+G55</f>
        <v>9166.6666666666661</v>
      </c>
      <c r="H72" s="13">
        <f t="shared" si="13"/>
        <v>9166.6666666666661</v>
      </c>
      <c r="I72" s="13">
        <f t="shared" si="13"/>
        <v>9166.6666666666661</v>
      </c>
      <c r="J72" s="13">
        <f t="shared" si="13"/>
        <v>9166.6666666666661</v>
      </c>
      <c r="K72" s="13">
        <f t="shared" si="13"/>
        <v>15930.67</v>
      </c>
      <c r="L72" s="13">
        <f t="shared" si="13"/>
        <v>10294</v>
      </c>
      <c r="M72" s="13">
        <f t="shared" si="13"/>
        <v>10294</v>
      </c>
      <c r="N72" s="13">
        <f t="shared" si="13"/>
        <v>10294</v>
      </c>
      <c r="O72" s="13">
        <f t="shared" si="13"/>
        <v>10294</v>
      </c>
      <c r="P72" s="13">
        <f t="shared" si="13"/>
        <v>10294</v>
      </c>
      <c r="Q72" s="13">
        <f t="shared" si="13"/>
        <v>10294</v>
      </c>
      <c r="R72" s="15">
        <f>SUM(F72:Q72)</f>
        <v>123528.00333333333</v>
      </c>
    </row>
    <row r="73" spans="1:18" x14ac:dyDescent="0.2">
      <c r="A73" s="20" t="s">
        <v>42</v>
      </c>
      <c r="B73" s="12" t="s">
        <v>133</v>
      </c>
      <c r="C73" s="12"/>
      <c r="D73" s="12"/>
      <c r="E73" s="12"/>
      <c r="F73" s="13">
        <v>0</v>
      </c>
      <c r="G73" s="13">
        <f>+F74</f>
        <v>25332.996666666666</v>
      </c>
      <c r="H73" s="13">
        <f t="shared" ref="H73:Q73" si="14">+G74</f>
        <v>53565.993333333332</v>
      </c>
      <c r="I73" s="13">
        <f t="shared" si="14"/>
        <v>84898.989999999991</v>
      </c>
      <c r="J73" s="13">
        <f t="shared" si="14"/>
        <v>114233.98666666666</v>
      </c>
      <c r="K73" s="13">
        <f t="shared" si="14"/>
        <v>140941.98333333334</v>
      </c>
      <c r="L73" s="13">
        <f t="shared" si="14"/>
        <v>173928.98333333334</v>
      </c>
      <c r="M73" s="13">
        <f t="shared" si="14"/>
        <v>204189.31333333335</v>
      </c>
      <c r="N73" s="13">
        <f t="shared" si="14"/>
        <v>237649.64333333337</v>
      </c>
      <c r="O73" s="13">
        <f t="shared" si="14"/>
        <v>276009.97333333339</v>
      </c>
      <c r="P73" s="13">
        <f t="shared" si="14"/>
        <v>312470.3033333334</v>
      </c>
      <c r="Q73" s="13">
        <f t="shared" si="14"/>
        <v>353930.63333333342</v>
      </c>
      <c r="R73" s="12"/>
    </row>
    <row r="74" spans="1:18" ht="15" x14ac:dyDescent="0.25">
      <c r="A74" s="26" t="s">
        <v>37</v>
      </c>
      <c r="B74" s="14" t="s">
        <v>134</v>
      </c>
      <c r="C74" s="14"/>
      <c r="D74" s="12"/>
      <c r="E74" s="12"/>
      <c r="F74" s="15">
        <f t="shared" ref="F74:Q74" si="15">SUM(F71:F73)</f>
        <v>25332.996666666666</v>
      </c>
      <c r="G74" s="15">
        <f t="shared" si="15"/>
        <v>53565.993333333332</v>
      </c>
      <c r="H74" s="15">
        <f t="shared" si="15"/>
        <v>84898.989999999991</v>
      </c>
      <c r="I74" s="15">
        <f t="shared" si="15"/>
        <v>114233.98666666666</v>
      </c>
      <c r="J74" s="15">
        <f t="shared" si="15"/>
        <v>140941.98333333334</v>
      </c>
      <c r="K74" s="15">
        <f t="shared" si="15"/>
        <v>173928.98333333334</v>
      </c>
      <c r="L74" s="15">
        <f t="shared" si="15"/>
        <v>204189.31333333335</v>
      </c>
      <c r="M74" s="15">
        <f t="shared" si="15"/>
        <v>237649.64333333337</v>
      </c>
      <c r="N74" s="15">
        <f t="shared" si="15"/>
        <v>276009.97333333339</v>
      </c>
      <c r="O74" s="15">
        <f t="shared" si="15"/>
        <v>312470.3033333334</v>
      </c>
      <c r="P74" s="15">
        <f t="shared" si="15"/>
        <v>353930.63333333342</v>
      </c>
      <c r="Q74" s="15">
        <f t="shared" si="15"/>
        <v>382390.96333333344</v>
      </c>
      <c r="R74" s="12"/>
    </row>
    <row r="75" spans="1:18" x14ac:dyDescent="0.2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</row>
    <row r="76" spans="1:18" ht="15" x14ac:dyDescent="0.25">
      <c r="A76" s="12"/>
      <c r="B76" s="12" t="s">
        <v>135</v>
      </c>
      <c r="C76" s="12"/>
      <c r="D76" s="12"/>
      <c r="E76" s="12"/>
      <c r="F76" s="13">
        <f>+F62*0.1</f>
        <v>1250</v>
      </c>
      <c r="G76" s="13">
        <f t="shared" ref="G76:Q76" si="16">+G62*0.1</f>
        <v>890</v>
      </c>
      <c r="H76" s="13">
        <f t="shared" si="16"/>
        <v>1360</v>
      </c>
      <c r="I76" s="13">
        <f t="shared" si="16"/>
        <v>2000</v>
      </c>
      <c r="J76" s="13">
        <f t="shared" si="16"/>
        <v>896.5</v>
      </c>
      <c r="K76" s="13">
        <f t="shared" si="16"/>
        <v>750</v>
      </c>
      <c r="L76" s="13">
        <f t="shared" si="16"/>
        <v>620</v>
      </c>
      <c r="M76" s="13">
        <f t="shared" si="16"/>
        <v>1500</v>
      </c>
      <c r="N76" s="13">
        <f t="shared" si="16"/>
        <v>1800</v>
      </c>
      <c r="O76" s="13">
        <f t="shared" si="16"/>
        <v>2000</v>
      </c>
      <c r="P76" s="13">
        <f t="shared" si="16"/>
        <v>3500</v>
      </c>
      <c r="Q76" s="13">
        <f t="shared" si="16"/>
        <v>2500</v>
      </c>
      <c r="R76" s="15">
        <f>SUM(F76:Q76)</f>
        <v>19066.5</v>
      </c>
    </row>
    <row r="77" spans="1:18" x14ac:dyDescent="0.2">
      <c r="A77" s="20" t="s">
        <v>42</v>
      </c>
      <c r="B77" s="12" t="s">
        <v>136</v>
      </c>
      <c r="C77" s="12"/>
      <c r="D77" s="12"/>
      <c r="E77" s="12"/>
      <c r="F77" s="13">
        <v>0</v>
      </c>
      <c r="G77" s="13">
        <f>+F78</f>
        <v>1250</v>
      </c>
      <c r="H77" s="13">
        <f t="shared" ref="H77:Q77" si="17">+G78</f>
        <v>2140</v>
      </c>
      <c r="I77" s="13">
        <f t="shared" si="17"/>
        <v>3500</v>
      </c>
      <c r="J77" s="13">
        <f t="shared" si="17"/>
        <v>5500</v>
      </c>
      <c r="K77" s="13">
        <f t="shared" si="17"/>
        <v>6396.5</v>
      </c>
      <c r="L77" s="13">
        <f t="shared" si="17"/>
        <v>7146.5</v>
      </c>
      <c r="M77" s="13">
        <f t="shared" si="17"/>
        <v>7766.5</v>
      </c>
      <c r="N77" s="13">
        <f t="shared" si="17"/>
        <v>9266.5</v>
      </c>
      <c r="O77" s="13">
        <f t="shared" si="17"/>
        <v>11066.5</v>
      </c>
      <c r="P77" s="13">
        <f t="shared" si="17"/>
        <v>13066.5</v>
      </c>
      <c r="Q77" s="13">
        <f t="shared" si="17"/>
        <v>16566.5</v>
      </c>
      <c r="R77" s="12"/>
    </row>
    <row r="78" spans="1:18" ht="15" x14ac:dyDescent="0.25">
      <c r="A78" s="26" t="s">
        <v>37</v>
      </c>
      <c r="B78" s="14" t="s">
        <v>137</v>
      </c>
      <c r="C78" s="12"/>
      <c r="D78" s="12"/>
      <c r="E78" s="12"/>
      <c r="F78" s="15">
        <f>SUM(F76:F77)</f>
        <v>1250</v>
      </c>
      <c r="G78" s="15">
        <f t="shared" ref="G78:Q78" si="18">SUM(G76:G77)</f>
        <v>2140</v>
      </c>
      <c r="H78" s="15">
        <f t="shared" si="18"/>
        <v>3500</v>
      </c>
      <c r="I78" s="15">
        <f t="shared" si="18"/>
        <v>5500</v>
      </c>
      <c r="J78" s="15">
        <f t="shared" si="18"/>
        <v>6396.5</v>
      </c>
      <c r="K78" s="15">
        <f t="shared" si="18"/>
        <v>7146.5</v>
      </c>
      <c r="L78" s="15">
        <f t="shared" si="18"/>
        <v>7766.5</v>
      </c>
      <c r="M78" s="15">
        <f t="shared" si="18"/>
        <v>9266.5</v>
      </c>
      <c r="N78" s="15">
        <f t="shared" si="18"/>
        <v>11066.5</v>
      </c>
      <c r="O78" s="15">
        <f t="shared" si="18"/>
        <v>13066.5</v>
      </c>
      <c r="P78" s="15">
        <f t="shared" si="18"/>
        <v>16566.5</v>
      </c>
      <c r="Q78" s="15">
        <f t="shared" si="18"/>
        <v>19066.5</v>
      </c>
      <c r="R78" s="12"/>
    </row>
    <row r="79" spans="1:18" x14ac:dyDescent="0.2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</row>
    <row r="80" spans="1:18" ht="15" x14ac:dyDescent="0.25">
      <c r="A80" s="12"/>
      <c r="B80" s="14" t="s">
        <v>138</v>
      </c>
      <c r="C80" s="14"/>
      <c r="D80" s="14"/>
      <c r="E80" s="14"/>
      <c r="F80" s="27">
        <f>+F69-F74</f>
        <v>47167.003333333334</v>
      </c>
      <c r="G80" s="27">
        <f t="shared" ref="G80:Q80" si="19">+G69-G74</f>
        <v>102834.00666666667</v>
      </c>
      <c r="H80" s="27">
        <f t="shared" si="19"/>
        <v>121101.01000000001</v>
      </c>
      <c r="I80" s="27">
        <f t="shared" si="19"/>
        <v>123766.01333333334</v>
      </c>
      <c r="J80" s="27">
        <f t="shared" si="19"/>
        <v>111893.01666666666</v>
      </c>
      <c r="K80" s="27">
        <f t="shared" si="19"/>
        <v>164406.01666666666</v>
      </c>
      <c r="L80" s="27">
        <f t="shared" si="19"/>
        <v>285536.93666666665</v>
      </c>
      <c r="M80" s="27">
        <f t="shared" si="19"/>
        <v>387076.60666666663</v>
      </c>
      <c r="N80" s="27">
        <f t="shared" si="19"/>
        <v>455716.27666666661</v>
      </c>
      <c r="O80" s="27">
        <f t="shared" si="19"/>
        <v>514255.9466666666</v>
      </c>
      <c r="P80" s="27">
        <f t="shared" si="19"/>
        <v>539795.61666666658</v>
      </c>
      <c r="Q80" s="27">
        <f t="shared" si="19"/>
        <v>582335.28666666662</v>
      </c>
      <c r="R80" s="12"/>
    </row>
    <row r="81" spans="1:18" x14ac:dyDescent="0.2">
      <c r="A81" s="20" t="s">
        <v>36</v>
      </c>
      <c r="B81" s="12" t="s">
        <v>139</v>
      </c>
      <c r="C81" s="12"/>
      <c r="D81" s="12"/>
      <c r="E81" s="12"/>
      <c r="F81" s="16">
        <v>0</v>
      </c>
      <c r="G81" s="16">
        <v>0</v>
      </c>
      <c r="H81" s="16">
        <v>0</v>
      </c>
      <c r="I81" s="16">
        <v>0</v>
      </c>
      <c r="J81" s="16">
        <v>0</v>
      </c>
      <c r="K81" s="16">
        <v>0</v>
      </c>
      <c r="L81" s="16">
        <v>0</v>
      </c>
      <c r="M81" s="16">
        <v>0</v>
      </c>
      <c r="N81" s="16">
        <v>0</v>
      </c>
      <c r="O81" s="16">
        <v>0</v>
      </c>
      <c r="P81" s="16">
        <v>0</v>
      </c>
      <c r="Q81" s="16">
        <v>0</v>
      </c>
      <c r="R81" s="12"/>
    </row>
    <row r="82" spans="1:18" x14ac:dyDescent="0.2">
      <c r="A82" s="20" t="s">
        <v>36</v>
      </c>
      <c r="B82" s="12" t="s">
        <v>140</v>
      </c>
      <c r="C82" s="12"/>
      <c r="D82" s="12"/>
      <c r="E82" s="12"/>
      <c r="F82" s="16">
        <v>0</v>
      </c>
      <c r="G82" s="16">
        <v>0</v>
      </c>
      <c r="H82" s="16">
        <v>0</v>
      </c>
      <c r="I82" s="16">
        <v>0</v>
      </c>
      <c r="J82" s="16">
        <v>0</v>
      </c>
      <c r="K82" s="16">
        <v>0</v>
      </c>
      <c r="L82" s="16">
        <v>0</v>
      </c>
      <c r="M82" s="16">
        <v>0</v>
      </c>
      <c r="N82" s="16">
        <v>0</v>
      </c>
      <c r="O82" s="16">
        <v>0</v>
      </c>
      <c r="P82" s="16">
        <v>0</v>
      </c>
      <c r="Q82" s="16">
        <v>0</v>
      </c>
      <c r="R82" s="12"/>
    </row>
    <row r="83" spans="1:18" ht="15" x14ac:dyDescent="0.25">
      <c r="A83" s="26" t="s">
        <v>37</v>
      </c>
      <c r="B83" s="14" t="s">
        <v>141</v>
      </c>
      <c r="C83" s="12"/>
      <c r="D83" s="12"/>
      <c r="E83" s="12"/>
      <c r="F83" s="27">
        <f>+F80-F81-F82</f>
        <v>47167.003333333334</v>
      </c>
      <c r="G83" s="27">
        <f t="shared" ref="G83:Q83" si="20">+G80-G81-G82</f>
        <v>102834.00666666667</v>
      </c>
      <c r="H83" s="27">
        <f t="shared" si="20"/>
        <v>121101.01000000001</v>
      </c>
      <c r="I83" s="27">
        <f t="shared" si="20"/>
        <v>123766.01333333334</v>
      </c>
      <c r="J83" s="27">
        <f t="shared" si="20"/>
        <v>111893.01666666666</v>
      </c>
      <c r="K83" s="27">
        <f t="shared" si="20"/>
        <v>164406.01666666666</v>
      </c>
      <c r="L83" s="27">
        <f t="shared" si="20"/>
        <v>285536.93666666665</v>
      </c>
      <c r="M83" s="27">
        <f t="shared" si="20"/>
        <v>387076.60666666663</v>
      </c>
      <c r="N83" s="27">
        <f t="shared" si="20"/>
        <v>455716.27666666661</v>
      </c>
      <c r="O83" s="27">
        <f t="shared" si="20"/>
        <v>514255.9466666666</v>
      </c>
      <c r="P83" s="27">
        <f t="shared" si="20"/>
        <v>539795.61666666658</v>
      </c>
      <c r="Q83" s="27">
        <f t="shared" si="20"/>
        <v>582335.28666666662</v>
      </c>
      <c r="R83" s="12"/>
    </row>
    <row r="84" spans="1:18" x14ac:dyDescent="0.2">
      <c r="A84" s="20" t="s">
        <v>36</v>
      </c>
      <c r="B84" s="12" t="s">
        <v>1</v>
      </c>
      <c r="C84" s="12"/>
      <c r="D84" s="12"/>
      <c r="E84" s="12"/>
      <c r="F84" s="22">
        <f>VLOOKUP(F83,Tarifas!B39:E52,1)</f>
        <v>42537.59</v>
      </c>
      <c r="G84" s="22">
        <f>VLOOKUP(G83,Tarifas!B56:E69,1)</f>
        <v>85075.17</v>
      </c>
      <c r="H84" s="22">
        <f>VLOOKUP(H83,Tarifas!B73:E86,1)</f>
        <v>80965.509999999995</v>
      </c>
      <c r="I84" s="22">
        <f>VLOOKUP(I83,Tarifas!H39:K52,1)</f>
        <v>107954.01</v>
      </c>
      <c r="J84" s="22">
        <f>VLOOKUP(J83,Tarifas!H56:K69,1)</f>
        <v>66907.360000000001</v>
      </c>
      <c r="K84" s="22">
        <f>VLOOKUP(K83,Tarifas!H73:K86,1)</f>
        <v>161931.01</v>
      </c>
      <c r="L84" s="22">
        <f>VLOOKUP(L83,Tarifas!N39:Q52,1)</f>
        <v>188919.51</v>
      </c>
      <c r="M84" s="22">
        <f>VLOOKUP(M83,Tarifas!N56:Q69,1)</f>
        <v>340300.65</v>
      </c>
      <c r="N84" s="22">
        <f>VLOOKUP(N83,Tarifas!N73:Q86,1)</f>
        <v>382838.23</v>
      </c>
      <c r="O84" s="22">
        <f>VLOOKUP(O83,Tarifas!T39:W52,1)</f>
        <v>425375.81</v>
      </c>
      <c r="P84" s="22">
        <f>VLOOKUP(P83,Tarifas!T56:W69,1)</f>
        <v>467913.39</v>
      </c>
      <c r="Q84" s="22">
        <f>VLOOKUP(Q83,Tarifas!T73:W86,1)</f>
        <v>510451.01</v>
      </c>
      <c r="R84" s="12"/>
    </row>
    <row r="85" spans="1:18" x14ac:dyDescent="0.2">
      <c r="A85" s="20" t="s">
        <v>37</v>
      </c>
      <c r="B85" s="12" t="s">
        <v>38</v>
      </c>
      <c r="C85" s="12"/>
      <c r="D85" s="12"/>
      <c r="E85" s="12"/>
      <c r="F85" s="16">
        <f t="shared" ref="F85:Q85" si="21">+F83-F84</f>
        <v>4629.4133333333375</v>
      </c>
      <c r="G85" s="16">
        <f t="shared" si="21"/>
        <v>17758.83666666667</v>
      </c>
      <c r="H85" s="16">
        <f t="shared" si="21"/>
        <v>40135.500000000015</v>
      </c>
      <c r="I85" s="16">
        <f t="shared" si="21"/>
        <v>15812.003333333341</v>
      </c>
      <c r="J85" s="16">
        <f t="shared" si="21"/>
        <v>44985.656666666662</v>
      </c>
      <c r="K85" s="16">
        <f t="shared" si="21"/>
        <v>2475.0066666666535</v>
      </c>
      <c r="L85" s="16">
        <f t="shared" si="21"/>
        <v>96617.426666666637</v>
      </c>
      <c r="M85" s="16">
        <f t="shared" si="21"/>
        <v>46775.956666666607</v>
      </c>
      <c r="N85" s="16">
        <f t="shared" si="21"/>
        <v>72878.046666666633</v>
      </c>
      <c r="O85" s="16">
        <f t="shared" si="21"/>
        <v>88880.1366666666</v>
      </c>
      <c r="P85" s="16">
        <f t="shared" si="21"/>
        <v>71882.226666666567</v>
      </c>
      <c r="Q85" s="16">
        <f t="shared" si="21"/>
        <v>71884.276666666614</v>
      </c>
      <c r="R85" s="12"/>
    </row>
    <row r="86" spans="1:18" x14ac:dyDescent="0.2">
      <c r="A86" s="20" t="s">
        <v>39</v>
      </c>
      <c r="B86" s="12" t="s">
        <v>40</v>
      </c>
      <c r="C86" s="12"/>
      <c r="D86" s="12"/>
      <c r="E86" s="12"/>
      <c r="F86" s="23">
        <f>VLOOKUP(F83,Tarifas!B39:E52,4)/100</f>
        <v>0.3</v>
      </c>
      <c r="G86" s="23">
        <f>VLOOKUP(G83,Tarifas!B56:E69,4)/100</f>
        <v>0.3</v>
      </c>
      <c r="H86" s="23">
        <f>VLOOKUP(H83,Tarifas!B73:E86,4)/100</f>
        <v>0.23519999999999999</v>
      </c>
      <c r="I86" s="23">
        <f>VLOOKUP(I83,Tarifas!H39:K52,4)/100</f>
        <v>0.23519999999999999</v>
      </c>
      <c r="J86" s="23">
        <f>VLOOKUP(J83,Tarifas!H56:K69,4)/100</f>
        <v>0.21359999999999998</v>
      </c>
      <c r="K86" s="23">
        <f>VLOOKUP(K83,Tarifas!H73:K86,4)/100</f>
        <v>0.23519999999999999</v>
      </c>
      <c r="L86" s="23">
        <f>VLOOKUP(L83,Tarifas!N39:Q52,4)/100</f>
        <v>0.23519999999999999</v>
      </c>
      <c r="M86" s="23">
        <f>VLOOKUP(M83,Tarifas!N56:Q69,4)/100</f>
        <v>0.3</v>
      </c>
      <c r="N86" s="23">
        <f>VLOOKUP(N83,Tarifas!N73:Q86,4)/100</f>
        <v>0.3</v>
      </c>
      <c r="O86" s="23">
        <f>VLOOKUP(O83,Tarifas!T39:W52,4)/100</f>
        <v>0.3</v>
      </c>
      <c r="P86" s="23">
        <f>VLOOKUP(P83,Tarifas!T56:W69,4)/100</f>
        <v>0.3</v>
      </c>
      <c r="Q86" s="23">
        <f>VLOOKUP(Q83,Tarifas!T73:W86,4)/100</f>
        <v>0.3</v>
      </c>
      <c r="R86" s="12"/>
    </row>
    <row r="87" spans="1:18" x14ac:dyDescent="0.2">
      <c r="A87" s="20" t="s">
        <v>37</v>
      </c>
      <c r="B87" s="12" t="s">
        <v>41</v>
      </c>
      <c r="C87" s="12"/>
      <c r="D87" s="12"/>
      <c r="E87" s="12"/>
      <c r="F87" s="16">
        <f t="shared" ref="F87:Q87" si="22">+F85*F86</f>
        <v>1388.8240000000012</v>
      </c>
      <c r="G87" s="16">
        <f t="shared" si="22"/>
        <v>5327.6510000000007</v>
      </c>
      <c r="H87" s="16">
        <f t="shared" si="22"/>
        <v>9439.8696000000036</v>
      </c>
      <c r="I87" s="16">
        <f t="shared" si="22"/>
        <v>3718.9831840000015</v>
      </c>
      <c r="J87" s="16">
        <f t="shared" si="22"/>
        <v>9608.9362639999981</v>
      </c>
      <c r="K87" s="16">
        <f t="shared" si="22"/>
        <v>582.12156799999684</v>
      </c>
      <c r="L87" s="16">
        <f t="shared" si="22"/>
        <v>22724.418751999994</v>
      </c>
      <c r="M87" s="16">
        <f t="shared" si="22"/>
        <v>14032.786999999982</v>
      </c>
      <c r="N87" s="16">
        <f t="shared" si="22"/>
        <v>21863.41399999999</v>
      </c>
      <c r="O87" s="16">
        <f t="shared" si="22"/>
        <v>26664.040999999979</v>
      </c>
      <c r="P87" s="16">
        <f t="shared" si="22"/>
        <v>21564.667999999969</v>
      </c>
      <c r="Q87" s="16">
        <f t="shared" si="22"/>
        <v>21565.282999999985</v>
      </c>
      <c r="R87" s="12"/>
    </row>
    <row r="88" spans="1:18" x14ac:dyDescent="0.2">
      <c r="A88" s="20" t="s">
        <v>42</v>
      </c>
      <c r="B88" s="12" t="s">
        <v>3</v>
      </c>
      <c r="C88" s="12"/>
      <c r="D88" s="12"/>
      <c r="E88" s="12"/>
      <c r="F88" s="22">
        <f>VLOOKUP(F83,Tarifas!B39:E52,3)</f>
        <v>7980.73</v>
      </c>
      <c r="G88" s="22">
        <f>VLOOKUP(G83,Tarifas!B56:E69,3)</f>
        <v>15961.46</v>
      </c>
      <c r="H88" s="22">
        <f>VLOOKUP(H83,Tarifas!B73:E86,3)</f>
        <v>12970.74</v>
      </c>
      <c r="I88" s="22">
        <f>VLOOKUP(I83,Tarifas!H39:K52,3)</f>
        <v>17294.32</v>
      </c>
      <c r="J88" s="22">
        <f>VLOOKUP(J83,Tarifas!H56:K69,3)</f>
        <v>7085.6</v>
      </c>
      <c r="K88" s="22">
        <f>VLOOKUP(K83,Tarifas!H73:K86,3)</f>
        <v>25941.48</v>
      </c>
      <c r="L88" s="22">
        <f>VLOOKUP(L83,Tarifas!N39:Q52,3)</f>
        <v>30265.06</v>
      </c>
      <c r="M88" s="22">
        <f>VLOOKUP(M83,Tarifas!N56:Q69,3)</f>
        <v>63845.84</v>
      </c>
      <c r="N88" s="22">
        <f>VLOOKUP(N83,Tarifas!N73:Q86,3)</f>
        <v>71826.570000000007</v>
      </c>
      <c r="O88" s="22">
        <f>VLOOKUP(O83,Tarifas!T39:W52,3)</f>
        <v>79807.3</v>
      </c>
      <c r="P88" s="22">
        <f>VLOOKUP(P83,Tarifas!T56:W69,3)</f>
        <v>87788.03</v>
      </c>
      <c r="Q88" s="22">
        <f>VLOOKUP(Q83,Tarifas!T73:W86,3)</f>
        <v>95768.74</v>
      </c>
      <c r="R88" s="12"/>
    </row>
    <row r="89" spans="1:18" ht="15" x14ac:dyDescent="0.25">
      <c r="A89" s="26" t="s">
        <v>37</v>
      </c>
      <c r="B89" s="14" t="s">
        <v>43</v>
      </c>
      <c r="C89" s="12"/>
      <c r="D89" s="12"/>
      <c r="E89" s="12"/>
      <c r="F89" s="27">
        <f t="shared" ref="F89:Q89" si="23">+F87+F88</f>
        <v>9369.5540000000001</v>
      </c>
      <c r="G89" s="27">
        <f t="shared" si="23"/>
        <v>21289.111000000001</v>
      </c>
      <c r="H89" s="27">
        <f t="shared" si="23"/>
        <v>22410.609600000003</v>
      </c>
      <c r="I89" s="27">
        <f t="shared" si="23"/>
        <v>21013.303184</v>
      </c>
      <c r="J89" s="27">
        <f t="shared" si="23"/>
        <v>16694.536263999998</v>
      </c>
      <c r="K89" s="27">
        <f t="shared" si="23"/>
        <v>26523.601567999998</v>
      </c>
      <c r="L89" s="27">
        <f t="shared" si="23"/>
        <v>52989.478751999995</v>
      </c>
      <c r="M89" s="27">
        <f t="shared" si="23"/>
        <v>77878.626999999979</v>
      </c>
      <c r="N89" s="27">
        <f t="shared" si="23"/>
        <v>93689.983999999997</v>
      </c>
      <c r="O89" s="27">
        <f t="shared" si="23"/>
        <v>106471.34099999999</v>
      </c>
      <c r="P89" s="27">
        <f t="shared" si="23"/>
        <v>109352.69799999997</v>
      </c>
      <c r="Q89" s="27">
        <f t="shared" si="23"/>
        <v>117334.02299999999</v>
      </c>
      <c r="R89" s="12"/>
    </row>
    <row r="90" spans="1:18" x14ac:dyDescent="0.2">
      <c r="A90" s="20" t="s">
        <v>36</v>
      </c>
      <c r="B90" s="12" t="s">
        <v>142</v>
      </c>
      <c r="C90" s="12"/>
      <c r="D90" s="12"/>
      <c r="E90" s="12"/>
      <c r="F90" s="13">
        <v>0</v>
      </c>
      <c r="G90" s="16">
        <f>+F90+F94</f>
        <v>8119.5540000000001</v>
      </c>
      <c r="H90" s="16">
        <f>+G90+G94</f>
        <v>19149.111000000001</v>
      </c>
      <c r="I90" s="16">
        <f t="shared" ref="I90:Q90" si="24">+H90+H94</f>
        <v>19149.111000000001</v>
      </c>
      <c r="J90" s="16">
        <f t="shared" si="24"/>
        <v>19149.111000000001</v>
      </c>
      <c r="K90" s="16">
        <f t="shared" si="24"/>
        <v>19149.111000000001</v>
      </c>
      <c r="L90" s="16">
        <f t="shared" si="24"/>
        <v>19377.101567999998</v>
      </c>
      <c r="M90" s="16">
        <f t="shared" si="24"/>
        <v>45222.978751999995</v>
      </c>
      <c r="N90" s="16">
        <f t="shared" si="24"/>
        <v>68612.126999999979</v>
      </c>
      <c r="O90" s="16">
        <f t="shared" si="24"/>
        <v>82623.483999999997</v>
      </c>
      <c r="P90" s="16">
        <f t="shared" si="24"/>
        <v>93404.840999999986</v>
      </c>
      <c r="Q90" s="16">
        <f t="shared" si="24"/>
        <v>93404.840999999986</v>
      </c>
      <c r="R90" s="12"/>
    </row>
    <row r="91" spans="1:18" x14ac:dyDescent="0.2">
      <c r="A91" s="20" t="s">
        <v>37</v>
      </c>
      <c r="B91" s="12" t="s">
        <v>143</v>
      </c>
      <c r="C91" s="12"/>
      <c r="D91" s="12"/>
      <c r="E91" s="12"/>
      <c r="F91" s="13">
        <f t="shared" ref="F91:Q91" si="25">IF(F89&gt;F90,F89-F90,0)</f>
        <v>9369.5540000000001</v>
      </c>
      <c r="G91" s="13">
        <f t="shared" si="25"/>
        <v>13169.557000000001</v>
      </c>
      <c r="H91" s="13">
        <f t="shared" si="25"/>
        <v>3261.4986000000026</v>
      </c>
      <c r="I91" s="13">
        <f t="shared" si="25"/>
        <v>1864.1921839999995</v>
      </c>
      <c r="J91" s="13">
        <f t="shared" si="25"/>
        <v>0</v>
      </c>
      <c r="K91" s="13">
        <f t="shared" si="25"/>
        <v>7374.4905679999974</v>
      </c>
      <c r="L91" s="13">
        <f t="shared" si="25"/>
        <v>33612.377183999997</v>
      </c>
      <c r="M91" s="13">
        <f t="shared" si="25"/>
        <v>32655.648247999983</v>
      </c>
      <c r="N91" s="13">
        <f t="shared" si="25"/>
        <v>25077.857000000018</v>
      </c>
      <c r="O91" s="13">
        <f t="shared" si="25"/>
        <v>23847.856999999989</v>
      </c>
      <c r="P91" s="13">
        <f t="shared" si="25"/>
        <v>15947.856999999989</v>
      </c>
      <c r="Q91" s="13">
        <f t="shared" si="25"/>
        <v>23929.182000000001</v>
      </c>
      <c r="R91" s="12"/>
    </row>
    <row r="92" spans="1:18" x14ac:dyDescent="0.2">
      <c r="A92" s="20" t="s">
        <v>36</v>
      </c>
      <c r="B92" s="12" t="s">
        <v>144</v>
      </c>
      <c r="C92" s="12"/>
      <c r="D92" s="12"/>
      <c r="E92" s="12"/>
      <c r="F92" s="13">
        <f>+F78</f>
        <v>1250</v>
      </c>
      <c r="G92" s="13">
        <f t="shared" ref="G92:Q92" si="26">+G78</f>
        <v>2140</v>
      </c>
      <c r="H92" s="13">
        <f t="shared" si="26"/>
        <v>3500</v>
      </c>
      <c r="I92" s="13">
        <f t="shared" si="26"/>
        <v>5500</v>
      </c>
      <c r="J92" s="13">
        <f t="shared" si="26"/>
        <v>6396.5</v>
      </c>
      <c r="K92" s="13">
        <f t="shared" si="26"/>
        <v>7146.5</v>
      </c>
      <c r="L92" s="13">
        <f t="shared" si="26"/>
        <v>7766.5</v>
      </c>
      <c r="M92" s="13">
        <f t="shared" si="26"/>
        <v>9266.5</v>
      </c>
      <c r="N92" s="13">
        <f t="shared" si="26"/>
        <v>11066.5</v>
      </c>
      <c r="O92" s="13">
        <f t="shared" si="26"/>
        <v>13066.5</v>
      </c>
      <c r="P92" s="13">
        <f t="shared" si="26"/>
        <v>16566.5</v>
      </c>
      <c r="Q92" s="13">
        <f t="shared" si="26"/>
        <v>19066.5</v>
      </c>
      <c r="R92" s="12"/>
    </row>
    <row r="93" spans="1:18" x14ac:dyDescent="0.2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</row>
    <row r="94" spans="1:18" ht="15" x14ac:dyDescent="0.25">
      <c r="A94" s="26" t="s">
        <v>37</v>
      </c>
      <c r="B94" s="14" t="s">
        <v>145</v>
      </c>
      <c r="C94" s="12"/>
      <c r="D94" s="12"/>
      <c r="E94" s="12"/>
      <c r="F94" s="15">
        <f t="shared" ref="F94:Q94" si="27">IF(F91&gt;F92,F91-F92,0)</f>
        <v>8119.5540000000001</v>
      </c>
      <c r="G94" s="15">
        <f t="shared" si="27"/>
        <v>11029.557000000001</v>
      </c>
      <c r="H94" s="15">
        <f t="shared" si="27"/>
        <v>0</v>
      </c>
      <c r="I94" s="15">
        <f t="shared" si="27"/>
        <v>0</v>
      </c>
      <c r="J94" s="15">
        <f t="shared" si="27"/>
        <v>0</v>
      </c>
      <c r="K94" s="15">
        <f t="shared" si="27"/>
        <v>227.99056799999744</v>
      </c>
      <c r="L94" s="15">
        <f t="shared" si="27"/>
        <v>25845.877183999997</v>
      </c>
      <c r="M94" s="15">
        <f t="shared" si="27"/>
        <v>23389.148247999983</v>
      </c>
      <c r="N94" s="15">
        <f t="shared" si="27"/>
        <v>14011.357000000018</v>
      </c>
      <c r="O94" s="15">
        <f t="shared" si="27"/>
        <v>10781.356999999989</v>
      </c>
      <c r="P94" s="15">
        <f t="shared" si="27"/>
        <v>0</v>
      </c>
      <c r="Q94" s="15">
        <f t="shared" si="27"/>
        <v>4862.6820000000007</v>
      </c>
      <c r="R94" s="15">
        <f>SUM(F94:Q94)</f>
        <v>98267.522999999986</v>
      </c>
    </row>
    <row r="95" spans="1:18" ht="15" x14ac:dyDescent="0.25">
      <c r="B95" s="29"/>
    </row>
    <row r="97" spans="1:15" x14ac:dyDescent="0.2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</row>
    <row r="98" spans="1:15" ht="15" x14ac:dyDescent="0.25">
      <c r="B98" s="29" t="s">
        <v>100</v>
      </c>
      <c r="I98" s="29" t="s">
        <v>92</v>
      </c>
    </row>
    <row r="99" spans="1:15" ht="15" x14ac:dyDescent="0.25">
      <c r="A99" s="12"/>
      <c r="B99" s="183" t="s">
        <v>81</v>
      </c>
      <c r="C99" s="183"/>
      <c r="D99" s="183"/>
      <c r="E99" s="118" t="s">
        <v>82</v>
      </c>
      <c r="F99" s="118" t="s">
        <v>83</v>
      </c>
      <c r="H99" s="12"/>
      <c r="I99" s="183" t="s">
        <v>81</v>
      </c>
      <c r="J99" s="183"/>
      <c r="K99" s="183"/>
      <c r="L99" s="118" t="s">
        <v>82</v>
      </c>
      <c r="M99" s="118" t="s">
        <v>235</v>
      </c>
      <c r="N99" s="118" t="s">
        <v>234</v>
      </c>
    </row>
    <row r="100" spans="1:15" x14ac:dyDescent="0.2">
      <c r="A100" s="12"/>
      <c r="B100" s="12" t="s">
        <v>339</v>
      </c>
      <c r="C100" s="12"/>
      <c r="D100" s="12"/>
      <c r="E100" s="16">
        <f>+R61</f>
        <v>774061.25</v>
      </c>
      <c r="F100" s="16">
        <v>0</v>
      </c>
      <c r="H100" s="12"/>
      <c r="I100" s="12" t="s">
        <v>93</v>
      </c>
      <c r="J100" s="12"/>
      <c r="K100" s="12"/>
      <c r="L100" s="16">
        <v>18000</v>
      </c>
      <c r="M100" s="1">
        <v>0</v>
      </c>
      <c r="N100" s="1">
        <f t="shared" ref="N100:N105" si="28">+L100</f>
        <v>18000</v>
      </c>
    </row>
    <row r="101" spans="1:15" x14ac:dyDescent="0.2">
      <c r="A101" s="20" t="s">
        <v>42</v>
      </c>
      <c r="B101" s="12" t="s">
        <v>302</v>
      </c>
      <c r="C101" s="12"/>
      <c r="D101" s="12"/>
      <c r="E101" s="16">
        <f>+R62</f>
        <v>190665</v>
      </c>
      <c r="F101" s="16">
        <v>0</v>
      </c>
      <c r="H101" s="20" t="s">
        <v>42</v>
      </c>
      <c r="I101" s="12" t="s">
        <v>94</v>
      </c>
      <c r="J101" s="12"/>
      <c r="K101" s="12"/>
      <c r="L101" s="16">
        <v>0</v>
      </c>
      <c r="M101" s="1">
        <v>32693.4</v>
      </c>
      <c r="N101" s="1">
        <f t="shared" si="28"/>
        <v>0</v>
      </c>
    </row>
    <row r="102" spans="1:15" x14ac:dyDescent="0.2">
      <c r="A102" s="20" t="s">
        <v>42</v>
      </c>
      <c r="B102" s="12"/>
      <c r="C102" s="12"/>
      <c r="D102" s="12"/>
      <c r="E102" s="16">
        <v>0</v>
      </c>
      <c r="F102" s="16">
        <v>0</v>
      </c>
      <c r="H102" s="20" t="s">
        <v>42</v>
      </c>
      <c r="I102" s="12" t="s">
        <v>95</v>
      </c>
      <c r="J102" s="12"/>
      <c r="K102" s="12"/>
      <c r="L102" s="16">
        <v>0</v>
      </c>
      <c r="M102" s="1">
        <v>0</v>
      </c>
      <c r="N102" s="1">
        <f t="shared" si="28"/>
        <v>0</v>
      </c>
    </row>
    <row r="103" spans="1:15" x14ac:dyDescent="0.2">
      <c r="A103" s="20" t="s">
        <v>42</v>
      </c>
      <c r="B103" s="12"/>
      <c r="C103" s="12"/>
      <c r="D103" s="12"/>
      <c r="E103" s="16">
        <v>0</v>
      </c>
      <c r="F103" s="16">
        <v>0</v>
      </c>
      <c r="H103" s="20" t="s">
        <v>42</v>
      </c>
      <c r="I103" s="12" t="s">
        <v>96</v>
      </c>
      <c r="J103" s="12"/>
      <c r="K103" s="12"/>
      <c r="L103" s="16">
        <v>3062</v>
      </c>
      <c r="M103" s="1">
        <v>0</v>
      </c>
      <c r="N103" s="1">
        <f t="shared" si="28"/>
        <v>3062</v>
      </c>
    </row>
    <row r="104" spans="1:15" x14ac:dyDescent="0.2">
      <c r="A104" s="20" t="s">
        <v>42</v>
      </c>
      <c r="B104" s="12"/>
      <c r="C104" s="12"/>
      <c r="D104" s="12"/>
      <c r="E104" s="16">
        <v>0</v>
      </c>
      <c r="F104" s="16">
        <v>0</v>
      </c>
      <c r="H104" s="20" t="s">
        <v>42</v>
      </c>
      <c r="I104" s="12" t="s">
        <v>247</v>
      </c>
      <c r="J104" s="12"/>
      <c r="K104" s="12"/>
      <c r="L104" s="1">
        <v>0</v>
      </c>
      <c r="M104" s="16">
        <f>+E123*0.1</f>
        <v>58233.528666666665</v>
      </c>
      <c r="N104" s="1">
        <f t="shared" si="28"/>
        <v>0</v>
      </c>
    </row>
    <row r="105" spans="1:15" x14ac:dyDescent="0.2">
      <c r="A105" s="20" t="s">
        <v>42</v>
      </c>
      <c r="B105" s="12"/>
      <c r="C105" s="12"/>
      <c r="D105" s="12"/>
      <c r="E105" s="16">
        <v>0</v>
      </c>
      <c r="F105" s="16">
        <v>0</v>
      </c>
      <c r="H105" s="20" t="s">
        <v>42</v>
      </c>
      <c r="I105" s="12" t="s">
        <v>291</v>
      </c>
      <c r="J105" s="12"/>
      <c r="K105" s="12"/>
      <c r="L105" s="1">
        <v>2320</v>
      </c>
      <c r="M105" s="16">
        <v>2500</v>
      </c>
      <c r="N105" s="1">
        <f t="shared" si="28"/>
        <v>2320</v>
      </c>
    </row>
    <row r="106" spans="1:15" x14ac:dyDescent="0.2">
      <c r="A106" s="20" t="s">
        <v>42</v>
      </c>
      <c r="B106" s="33"/>
      <c r="C106" s="33"/>
      <c r="D106" s="33"/>
      <c r="E106" s="22">
        <v>0</v>
      </c>
      <c r="F106" s="22">
        <v>0</v>
      </c>
      <c r="H106" s="20" t="s">
        <v>42</v>
      </c>
      <c r="I106" s="33" t="s">
        <v>98</v>
      </c>
      <c r="J106" s="33"/>
      <c r="K106" s="33"/>
      <c r="L106" s="22">
        <v>0</v>
      </c>
      <c r="M106" s="25">
        <v>0</v>
      </c>
      <c r="N106" s="25">
        <v>0</v>
      </c>
    </row>
    <row r="107" spans="1:15" ht="15" x14ac:dyDescent="0.25">
      <c r="A107" s="36" t="s">
        <v>37</v>
      </c>
      <c r="B107" s="14" t="s">
        <v>88</v>
      </c>
      <c r="C107" s="12"/>
      <c r="D107" s="12"/>
      <c r="E107" s="27">
        <f>SUM(E100:E106)</f>
        <v>964726.25</v>
      </c>
      <c r="F107" s="27">
        <f>SUM(F100:F106)</f>
        <v>0</v>
      </c>
      <c r="H107" s="36" t="s">
        <v>37</v>
      </c>
      <c r="I107" s="14" t="s">
        <v>99</v>
      </c>
      <c r="J107" s="12"/>
      <c r="K107" s="12"/>
      <c r="L107" s="27">
        <f>SUM(L100:L106)</f>
        <v>23382</v>
      </c>
      <c r="M107" s="27">
        <f t="shared" ref="M107:N107" si="29">SUM(M100:M106)</f>
        <v>93426.928666666674</v>
      </c>
      <c r="N107" s="40">
        <f t="shared" si="29"/>
        <v>23382</v>
      </c>
    </row>
    <row r="109" spans="1:15" ht="15" x14ac:dyDescent="0.25">
      <c r="B109" s="12" t="s">
        <v>89</v>
      </c>
      <c r="C109" s="12"/>
      <c r="E109" s="1">
        <f>+E107*0.15</f>
        <v>144708.9375</v>
      </c>
      <c r="I109" s="29" t="s">
        <v>101</v>
      </c>
    </row>
    <row r="110" spans="1:15" ht="15" x14ac:dyDescent="0.25">
      <c r="B110" s="12" t="s">
        <v>90</v>
      </c>
      <c r="C110" s="12"/>
      <c r="E110" s="1">
        <f>5*G17</f>
        <v>163467</v>
      </c>
      <c r="H110" s="12"/>
      <c r="I110" s="183" t="s">
        <v>81</v>
      </c>
      <c r="J110" s="183"/>
      <c r="K110" s="183"/>
      <c r="L110" s="118" t="s">
        <v>82</v>
      </c>
      <c r="M110" s="118" t="s">
        <v>235</v>
      </c>
      <c r="N110" s="118" t="s">
        <v>234</v>
      </c>
    </row>
    <row r="111" spans="1:15" x14ac:dyDescent="0.2">
      <c r="H111" s="12"/>
      <c r="I111" s="12" t="s">
        <v>102</v>
      </c>
      <c r="J111" s="12"/>
      <c r="K111" s="12"/>
      <c r="L111" s="16">
        <v>46000</v>
      </c>
      <c r="M111" s="1">
        <v>152000</v>
      </c>
      <c r="N111" s="1">
        <f>+L111</f>
        <v>46000</v>
      </c>
    </row>
    <row r="112" spans="1:15" ht="15" x14ac:dyDescent="0.25">
      <c r="B112" s="15" t="s">
        <v>91</v>
      </c>
      <c r="C112" s="15"/>
      <c r="D112" s="15"/>
      <c r="E112" s="15">
        <f>+E109</f>
        <v>144708.9375</v>
      </c>
      <c r="H112" s="20" t="s">
        <v>42</v>
      </c>
      <c r="I112" s="33" t="s">
        <v>294</v>
      </c>
      <c r="J112" s="33"/>
      <c r="K112" s="33"/>
      <c r="L112" s="22">
        <v>0</v>
      </c>
      <c r="M112" s="25">
        <v>0</v>
      </c>
      <c r="N112" s="25">
        <f>+M112</f>
        <v>0</v>
      </c>
    </row>
    <row r="113" spans="1:14" ht="15" x14ac:dyDescent="0.25">
      <c r="H113" s="36" t="s">
        <v>37</v>
      </c>
      <c r="I113" s="14" t="s">
        <v>103</v>
      </c>
      <c r="J113" s="12"/>
      <c r="K113" s="12"/>
      <c r="L113" s="27">
        <f>SUM(L111:L112)</f>
        <v>46000</v>
      </c>
      <c r="M113" s="27">
        <f t="shared" ref="M113:N113" si="30">SUM(M111:M112)</f>
        <v>152000</v>
      </c>
      <c r="N113" s="40">
        <f t="shared" si="30"/>
        <v>46000</v>
      </c>
    </row>
    <row r="115" spans="1:14" ht="15" x14ac:dyDescent="0.25">
      <c r="A115" s="95"/>
      <c r="B115" s="103" t="s">
        <v>307</v>
      </c>
      <c r="C115" s="95"/>
      <c r="D115" s="95"/>
      <c r="E115" s="95"/>
      <c r="F115" s="95"/>
      <c r="I115" s="29" t="s">
        <v>305</v>
      </c>
    </row>
    <row r="116" spans="1:14" ht="15" x14ac:dyDescent="0.25">
      <c r="A116" s="93"/>
      <c r="B116" s="183" t="s">
        <v>81</v>
      </c>
      <c r="C116" s="183"/>
      <c r="D116" s="183"/>
      <c r="E116" s="118" t="s">
        <v>48</v>
      </c>
      <c r="F116" s="95"/>
      <c r="H116" s="12"/>
      <c r="I116" s="183" t="s">
        <v>81</v>
      </c>
      <c r="J116" s="183"/>
      <c r="K116" s="183"/>
      <c r="L116" s="118" t="s">
        <v>82</v>
      </c>
    </row>
    <row r="117" spans="1:14" x14ac:dyDescent="0.2">
      <c r="A117" s="93"/>
      <c r="B117" s="93" t="s">
        <v>84</v>
      </c>
      <c r="C117" s="93"/>
      <c r="D117" s="93"/>
      <c r="E117" s="94">
        <v>0</v>
      </c>
      <c r="F117" s="95"/>
      <c r="H117" s="20"/>
      <c r="I117" s="12" t="s">
        <v>113</v>
      </c>
      <c r="J117" s="12"/>
      <c r="K117" s="12"/>
      <c r="L117" s="16">
        <v>0</v>
      </c>
    </row>
    <row r="118" spans="1:14" x14ac:dyDescent="0.2">
      <c r="A118" s="96" t="s">
        <v>42</v>
      </c>
      <c r="B118" s="93" t="s">
        <v>215</v>
      </c>
      <c r="C118" s="93"/>
      <c r="D118" s="93"/>
      <c r="E118" s="94">
        <v>0</v>
      </c>
      <c r="F118" s="95"/>
      <c r="H118" s="20" t="s">
        <v>42</v>
      </c>
      <c r="I118" s="12" t="s">
        <v>303</v>
      </c>
      <c r="J118" s="12"/>
      <c r="K118" s="12"/>
      <c r="L118" s="16">
        <f>+Q78</f>
        <v>19066.5</v>
      </c>
    </row>
    <row r="119" spans="1:14" x14ac:dyDescent="0.2">
      <c r="A119" s="96" t="s">
        <v>42</v>
      </c>
      <c r="B119" s="93" t="s">
        <v>216</v>
      </c>
      <c r="C119" s="93"/>
      <c r="D119" s="93"/>
      <c r="E119" s="94">
        <f>+Q83</f>
        <v>582335.28666666662</v>
      </c>
      <c r="F119" s="95"/>
      <c r="H119" s="20" t="s">
        <v>42</v>
      </c>
      <c r="I119" s="33" t="s">
        <v>304</v>
      </c>
      <c r="J119" s="33"/>
      <c r="K119" s="33"/>
      <c r="L119" s="22">
        <v>0</v>
      </c>
    </row>
    <row r="120" spans="1:14" ht="15" x14ac:dyDescent="0.25">
      <c r="A120" s="96" t="s">
        <v>36</v>
      </c>
      <c r="B120" s="93" t="s">
        <v>104</v>
      </c>
      <c r="C120" s="93"/>
      <c r="D120" s="93"/>
      <c r="E120" s="97">
        <v>0</v>
      </c>
      <c r="F120" s="95"/>
      <c r="H120" s="36" t="s">
        <v>37</v>
      </c>
      <c r="I120" s="14" t="s">
        <v>116</v>
      </c>
      <c r="J120" s="14"/>
      <c r="K120" s="14"/>
      <c r="L120" s="40">
        <f>SUM(L117:L119)</f>
        <v>19066.5</v>
      </c>
    </row>
    <row r="121" spans="1:14" ht="15" x14ac:dyDescent="0.25">
      <c r="A121" s="98" t="s">
        <v>37</v>
      </c>
      <c r="B121" s="99" t="s">
        <v>105</v>
      </c>
      <c r="C121" s="99"/>
      <c r="D121" s="99"/>
      <c r="E121" s="100">
        <f>+E117+E118+E119-E120</f>
        <v>582335.28666666662</v>
      </c>
      <c r="F121" s="95"/>
      <c r="H121" s="20"/>
      <c r="I121" s="12"/>
      <c r="J121" s="12"/>
      <c r="K121" s="12"/>
      <c r="L121" s="16"/>
    </row>
    <row r="122" spans="1:14" ht="15" x14ac:dyDescent="0.25">
      <c r="A122" s="96" t="s">
        <v>36</v>
      </c>
      <c r="B122" s="93" t="s">
        <v>106</v>
      </c>
      <c r="C122" s="93"/>
      <c r="D122" s="93"/>
      <c r="E122" s="97">
        <v>0</v>
      </c>
      <c r="F122" s="95"/>
      <c r="H122" s="128"/>
      <c r="I122" s="129"/>
      <c r="J122" s="129"/>
      <c r="K122" s="129"/>
      <c r="L122" s="129"/>
      <c r="M122" s="130"/>
      <c r="N122" s="130"/>
    </row>
    <row r="123" spans="1:14" ht="15" x14ac:dyDescent="0.25">
      <c r="A123" s="96" t="s">
        <v>37</v>
      </c>
      <c r="B123" s="93" t="s">
        <v>107</v>
      </c>
      <c r="C123" s="93"/>
      <c r="D123" s="93"/>
      <c r="E123" s="94">
        <f>+E121-E122</f>
        <v>582335.28666666662</v>
      </c>
      <c r="F123" s="95"/>
      <c r="I123" s="29" t="s">
        <v>306</v>
      </c>
      <c r="M123" s="130"/>
      <c r="N123" s="130"/>
    </row>
    <row r="124" spans="1:14" ht="15" x14ac:dyDescent="0.25">
      <c r="A124" s="96" t="s">
        <v>36</v>
      </c>
      <c r="B124" s="93" t="s">
        <v>108</v>
      </c>
      <c r="C124" s="93"/>
      <c r="D124" s="93"/>
      <c r="E124" s="97">
        <f>+N107+N113</f>
        <v>69382</v>
      </c>
      <c r="F124" s="95"/>
      <c r="H124" s="12"/>
      <c r="I124" s="183" t="s">
        <v>81</v>
      </c>
      <c r="J124" s="183"/>
      <c r="K124" s="183"/>
      <c r="L124" s="118" t="s">
        <v>82</v>
      </c>
      <c r="M124" s="130"/>
      <c r="N124" s="130"/>
    </row>
    <row r="125" spans="1:14" ht="15" x14ac:dyDescent="0.25">
      <c r="A125" s="98" t="s">
        <v>37</v>
      </c>
      <c r="B125" s="99" t="s">
        <v>109</v>
      </c>
      <c r="C125" s="93"/>
      <c r="D125" s="93"/>
      <c r="E125" s="100">
        <f>+E123-E124</f>
        <v>512953.28666666662</v>
      </c>
      <c r="F125" s="95"/>
      <c r="H125" s="20" t="s">
        <v>42</v>
      </c>
      <c r="I125" s="12" t="s">
        <v>340</v>
      </c>
      <c r="J125" s="12"/>
      <c r="K125" s="12"/>
      <c r="L125" s="16">
        <f>+R94</f>
        <v>98267.522999999986</v>
      </c>
      <c r="M125" s="130"/>
      <c r="N125" s="130"/>
    </row>
    <row r="126" spans="1:14" x14ac:dyDescent="0.2">
      <c r="A126" s="96" t="s">
        <v>36</v>
      </c>
      <c r="B126" s="93" t="s">
        <v>1</v>
      </c>
      <c r="C126" s="93"/>
      <c r="D126" s="93"/>
      <c r="E126" s="97">
        <f>VLOOKUP(E125,Tarifas!N3:Q16,1)</f>
        <v>510451.01</v>
      </c>
      <c r="F126" s="95"/>
      <c r="H126" s="20" t="s">
        <v>42</v>
      </c>
      <c r="I126" s="33" t="s">
        <v>304</v>
      </c>
      <c r="J126" s="33"/>
      <c r="K126" s="33"/>
      <c r="L126" s="22">
        <v>0</v>
      </c>
      <c r="M126" s="130"/>
      <c r="N126" s="130"/>
    </row>
    <row r="127" spans="1:14" ht="15" x14ac:dyDescent="0.25">
      <c r="A127" s="96" t="s">
        <v>37</v>
      </c>
      <c r="B127" s="93" t="s">
        <v>38</v>
      </c>
      <c r="C127" s="93"/>
      <c r="D127" s="93"/>
      <c r="E127" s="94">
        <f>+E125-E126</f>
        <v>2502.2766666666139</v>
      </c>
      <c r="F127" s="95"/>
      <c r="H127" s="36" t="s">
        <v>37</v>
      </c>
      <c r="I127" s="14" t="s">
        <v>214</v>
      </c>
      <c r="J127" s="14"/>
      <c r="K127" s="14"/>
      <c r="L127" s="40">
        <f>SUM(L125:L126)</f>
        <v>98267.522999999986</v>
      </c>
      <c r="M127" s="130"/>
      <c r="N127" s="130"/>
    </row>
    <row r="128" spans="1:14" x14ac:dyDescent="0.2">
      <c r="A128" s="96" t="s">
        <v>39</v>
      </c>
      <c r="B128" s="93" t="s">
        <v>40</v>
      </c>
      <c r="C128" s="93"/>
      <c r="D128" s="93"/>
      <c r="E128" s="101">
        <f>VLOOKUP(E125,Tarifas!N3:Q16,4)/100</f>
        <v>0.3</v>
      </c>
      <c r="F128" s="95"/>
      <c r="M128" s="130"/>
      <c r="N128" s="130"/>
    </row>
    <row r="129" spans="1:14" ht="15" x14ac:dyDescent="0.25">
      <c r="A129" s="96" t="s">
        <v>37</v>
      </c>
      <c r="B129" s="93" t="s">
        <v>41</v>
      </c>
      <c r="C129" s="93"/>
      <c r="D129" s="93"/>
      <c r="E129" s="94">
        <f>+E127*E128</f>
        <v>750.68299999998419</v>
      </c>
      <c r="F129" s="95"/>
      <c r="H129" s="135"/>
      <c r="I129" s="133"/>
      <c r="J129" s="133"/>
      <c r="K129" s="133"/>
      <c r="L129" s="136"/>
      <c r="M129" s="130"/>
      <c r="N129" s="130"/>
    </row>
    <row r="130" spans="1:14" ht="15" x14ac:dyDescent="0.25">
      <c r="A130" s="96" t="s">
        <v>42</v>
      </c>
      <c r="B130" s="93" t="s">
        <v>3</v>
      </c>
      <c r="C130" s="93"/>
      <c r="D130" s="93"/>
      <c r="E130" s="97">
        <f>VLOOKUP(E125,Tarifas!N3:Q16,3)</f>
        <v>95768.74</v>
      </c>
      <c r="F130" s="95"/>
      <c r="H130" s="135"/>
      <c r="I130" s="133"/>
      <c r="J130" s="133"/>
      <c r="K130" s="133"/>
      <c r="L130" s="134"/>
      <c r="M130" s="130"/>
      <c r="N130" s="130"/>
    </row>
    <row r="131" spans="1:14" ht="15" x14ac:dyDescent="0.25">
      <c r="A131" s="98" t="s">
        <v>37</v>
      </c>
      <c r="B131" s="99" t="s">
        <v>43</v>
      </c>
      <c r="C131" s="99"/>
      <c r="D131" s="99"/>
      <c r="E131" s="100">
        <f>+E129+E130</f>
        <v>96519.422999999995</v>
      </c>
      <c r="F131" s="95"/>
    </row>
    <row r="132" spans="1:14" x14ac:dyDescent="0.2">
      <c r="A132" s="96" t="s">
        <v>36</v>
      </c>
      <c r="B132" s="93" t="s">
        <v>124</v>
      </c>
      <c r="C132" s="93"/>
      <c r="D132" s="93"/>
      <c r="E132" s="102">
        <f>+L120</f>
        <v>19066.5</v>
      </c>
      <c r="F132" s="95"/>
    </row>
    <row r="133" spans="1:14" ht="15" thickBot="1" x14ac:dyDescent="0.25">
      <c r="A133" s="96" t="s">
        <v>36</v>
      </c>
      <c r="B133" s="93" t="s">
        <v>150</v>
      </c>
      <c r="C133" s="93"/>
      <c r="D133" s="93"/>
      <c r="E133" s="97">
        <f>+L127</f>
        <v>98267.522999999986</v>
      </c>
      <c r="F133" s="95"/>
    </row>
    <row r="134" spans="1:14" ht="15.75" thickBot="1" x14ac:dyDescent="0.3">
      <c r="A134" s="98" t="s">
        <v>37</v>
      </c>
      <c r="B134" s="99" t="s">
        <v>125</v>
      </c>
      <c r="C134" s="93"/>
      <c r="D134" s="93"/>
      <c r="E134" s="119">
        <f>+E131-E132-E133</f>
        <v>-20814.599999999991</v>
      </c>
      <c r="F134" s="95"/>
    </row>
  </sheetData>
  <mergeCells count="11">
    <mergeCell ref="B13:D13"/>
    <mergeCell ref="A60:D60"/>
    <mergeCell ref="I124:K124"/>
    <mergeCell ref="B22:E22"/>
    <mergeCell ref="A66:D66"/>
    <mergeCell ref="B99:D99"/>
    <mergeCell ref="I99:K99"/>
    <mergeCell ref="I110:K110"/>
    <mergeCell ref="B116:D116"/>
    <mergeCell ref="I116:K116"/>
    <mergeCell ref="B48:D48"/>
  </mergeCells>
  <pageMargins left="0.7" right="0.7" top="0.75" bottom="0.75" header="0.3" footer="0.3"/>
  <pageSetup orientation="portrait" r:id="rId1"/>
  <ignoredErrors>
    <ignoredError sqref="E124 E126" formula="1"/>
  </ignoredError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AC7E64-4877-483A-9F25-703C0209B9B8}">
  <sheetPr>
    <tabColor rgb="FFC00000"/>
  </sheetPr>
  <dimension ref="A10:M129"/>
  <sheetViews>
    <sheetView zoomScaleNormal="100" workbookViewId="0">
      <selection activeCell="F21" sqref="F21"/>
    </sheetView>
  </sheetViews>
  <sheetFormatPr baseColWidth="10" defaultRowHeight="14.25" x14ac:dyDescent="0.2"/>
  <cols>
    <col min="1" max="1" width="4.875" style="1" customWidth="1"/>
    <col min="2" max="2" width="12.375" style="1" customWidth="1"/>
    <col min="3" max="4" width="12.625" style="1" bestFit="1" customWidth="1"/>
    <col min="5" max="5" width="12.875" style="1" customWidth="1"/>
    <col min="6" max="6" width="13" style="1" customWidth="1"/>
    <col min="7" max="7" width="12.125" style="1" customWidth="1"/>
    <col min="8" max="11" width="11" style="1"/>
    <col min="12" max="12" width="12.625" style="1" bestFit="1" customWidth="1"/>
    <col min="13" max="16384" width="11" style="1"/>
  </cols>
  <sheetData>
    <row r="10" spans="2:4" ht="15" x14ac:dyDescent="0.25">
      <c r="B10" s="89" t="s">
        <v>341</v>
      </c>
    </row>
    <row r="12" spans="2:4" ht="15" x14ac:dyDescent="0.25">
      <c r="B12" s="29" t="s">
        <v>61</v>
      </c>
    </row>
    <row r="13" spans="2:4" ht="15" x14ac:dyDescent="0.25">
      <c r="B13" s="14" t="s">
        <v>388</v>
      </c>
    </row>
    <row r="14" spans="2:4" x14ac:dyDescent="0.2">
      <c r="B14" s="12" t="s">
        <v>366</v>
      </c>
    </row>
    <row r="15" spans="2:4" x14ac:dyDescent="0.2">
      <c r="B15" s="12"/>
    </row>
    <row r="16" spans="2:4" ht="15" x14ac:dyDescent="0.25">
      <c r="B16" s="48" t="s">
        <v>200</v>
      </c>
      <c r="D16" s="1" t="s">
        <v>367</v>
      </c>
    </row>
    <row r="17" spans="2:8" ht="15" x14ac:dyDescent="0.25">
      <c r="B17" s="14" t="s">
        <v>199</v>
      </c>
      <c r="D17" s="1">
        <v>8800000</v>
      </c>
    </row>
    <row r="18" spans="2:8" x14ac:dyDescent="0.2">
      <c r="B18" s="12"/>
    </row>
    <row r="19" spans="2:8" ht="15" x14ac:dyDescent="0.25">
      <c r="B19" s="14" t="s">
        <v>163</v>
      </c>
    </row>
    <row r="20" spans="2:8" x14ac:dyDescent="0.2">
      <c r="B20" s="12" t="s">
        <v>161</v>
      </c>
      <c r="D20" s="1">
        <v>1500000</v>
      </c>
    </row>
    <row r="21" spans="2:8" x14ac:dyDescent="0.2">
      <c r="B21" s="12" t="s">
        <v>162</v>
      </c>
      <c r="D21" s="1" t="s">
        <v>368</v>
      </c>
    </row>
    <row r="22" spans="2:8" x14ac:dyDescent="0.2">
      <c r="B22" s="12"/>
    </row>
    <row r="23" spans="2:8" ht="15" x14ac:dyDescent="0.25">
      <c r="B23" s="14" t="s">
        <v>160</v>
      </c>
    </row>
    <row r="24" spans="2:8" x14ac:dyDescent="0.2">
      <c r="B24" s="12" t="s">
        <v>164</v>
      </c>
      <c r="D24" s="1">
        <v>2500000</v>
      </c>
    </row>
    <row r="25" spans="2:8" x14ac:dyDescent="0.2">
      <c r="B25" s="12" t="s">
        <v>165</v>
      </c>
      <c r="D25" s="1" t="s">
        <v>369</v>
      </c>
    </row>
    <row r="26" spans="2:8" x14ac:dyDescent="0.2">
      <c r="B26" s="12"/>
    </row>
    <row r="27" spans="2:8" x14ac:dyDescent="0.2">
      <c r="B27" s="12"/>
    </row>
    <row r="28" spans="2:8" ht="15" x14ac:dyDescent="0.25">
      <c r="B28" s="29" t="s">
        <v>166</v>
      </c>
    </row>
    <row r="29" spans="2:8" x14ac:dyDescent="0.2">
      <c r="B29" s="12"/>
    </row>
    <row r="30" spans="2:8" ht="15" x14ac:dyDescent="0.25">
      <c r="B30" s="183" t="s">
        <v>163</v>
      </c>
      <c r="C30" s="183"/>
      <c r="D30" s="183"/>
      <c r="E30" s="183"/>
      <c r="F30" s="45" t="s">
        <v>48</v>
      </c>
      <c r="H30" s="29" t="s">
        <v>167</v>
      </c>
    </row>
    <row r="31" spans="2:8" x14ac:dyDescent="0.2">
      <c r="B31" s="12" t="s">
        <v>161</v>
      </c>
      <c r="F31" s="1">
        <f>+D20</f>
        <v>1500000</v>
      </c>
    </row>
    <row r="32" spans="2:8" x14ac:dyDescent="0.2">
      <c r="B32" s="12"/>
    </row>
    <row r="33" spans="1:8" x14ac:dyDescent="0.2">
      <c r="B33" s="33" t="s">
        <v>370</v>
      </c>
      <c r="C33" s="25"/>
      <c r="D33" s="25"/>
      <c r="E33" s="74">
        <f>+INPC!B649</f>
        <v>113.682</v>
      </c>
      <c r="F33" s="73">
        <f>TRUNC(E33/E34, 4)</f>
        <v>1.6236999999999999</v>
      </c>
    </row>
    <row r="34" spans="1:8" x14ac:dyDescent="0.2">
      <c r="B34" s="12" t="s">
        <v>371</v>
      </c>
      <c r="E34" s="73">
        <f>+INPC!B501</f>
        <v>70.009950000000003</v>
      </c>
    </row>
    <row r="35" spans="1:8" x14ac:dyDescent="0.2">
      <c r="B35" s="12"/>
    </row>
    <row r="36" spans="1:8" ht="15" x14ac:dyDescent="0.25">
      <c r="B36" s="14" t="s">
        <v>191</v>
      </c>
      <c r="F36" s="75">
        <f>+F31*F33</f>
        <v>2435550</v>
      </c>
    </row>
    <row r="37" spans="1:8" x14ac:dyDescent="0.2">
      <c r="B37" s="12"/>
    </row>
    <row r="38" spans="1:8" x14ac:dyDescent="0.2">
      <c r="B38" s="12"/>
    </row>
    <row r="39" spans="1:8" ht="15" x14ac:dyDescent="0.25">
      <c r="B39" s="183" t="s">
        <v>160</v>
      </c>
      <c r="C39" s="183"/>
      <c r="D39" s="183"/>
      <c r="E39" s="183"/>
      <c r="F39" s="45" t="s">
        <v>48</v>
      </c>
    </row>
    <row r="40" spans="1:8" ht="15" x14ac:dyDescent="0.25">
      <c r="B40" s="12" t="s">
        <v>192</v>
      </c>
      <c r="F40" s="1">
        <f>+D24</f>
        <v>2500000</v>
      </c>
      <c r="H40" s="29" t="s">
        <v>167</v>
      </c>
    </row>
    <row r="41" spans="1:8" x14ac:dyDescent="0.2">
      <c r="B41" s="12" t="s">
        <v>193</v>
      </c>
      <c r="F41" s="1">
        <f>+F40*0.03</f>
        <v>75000</v>
      </c>
    </row>
    <row r="42" spans="1:8" x14ac:dyDescent="0.2">
      <c r="A42" s="76" t="s">
        <v>39</v>
      </c>
      <c r="B42" s="12" t="s">
        <v>194</v>
      </c>
      <c r="F42" s="25">
        <v>10</v>
      </c>
    </row>
    <row r="43" spans="1:8" ht="15" x14ac:dyDescent="0.25">
      <c r="B43" s="14" t="s">
        <v>195</v>
      </c>
      <c r="F43" s="15">
        <f>+F41*F42</f>
        <v>750000</v>
      </c>
    </row>
    <row r="44" spans="1:8" x14ac:dyDescent="0.2">
      <c r="B44" s="12"/>
    </row>
    <row r="45" spans="1:8" x14ac:dyDescent="0.2">
      <c r="B45" s="12" t="s">
        <v>192</v>
      </c>
      <c r="F45" s="1">
        <f>+F40</f>
        <v>2500000</v>
      </c>
    </row>
    <row r="46" spans="1:8" x14ac:dyDescent="0.2">
      <c r="A46" s="76" t="s">
        <v>36</v>
      </c>
      <c r="B46" s="12" t="s">
        <v>193</v>
      </c>
      <c r="F46" s="25">
        <f>+F43</f>
        <v>750000</v>
      </c>
    </row>
    <row r="47" spans="1:8" ht="15" x14ac:dyDescent="0.25">
      <c r="A47" s="77" t="s">
        <v>37</v>
      </c>
      <c r="B47" s="14" t="s">
        <v>196</v>
      </c>
      <c r="F47" s="15">
        <f>+F45-F46</f>
        <v>1750000</v>
      </c>
    </row>
    <row r="48" spans="1:8" x14ac:dyDescent="0.2">
      <c r="B48" s="12"/>
    </row>
    <row r="49" spans="1:11" x14ac:dyDescent="0.2">
      <c r="B49" s="33" t="s">
        <v>370</v>
      </c>
      <c r="C49" s="25"/>
      <c r="D49" s="25"/>
      <c r="E49" s="74">
        <f>+INPC!B649</f>
        <v>113.682</v>
      </c>
      <c r="F49" s="73">
        <f>TRUNC(E49/E50, 4)</f>
        <v>1.5125999999999999</v>
      </c>
    </row>
    <row r="50" spans="1:11" x14ac:dyDescent="0.2">
      <c r="B50" s="12" t="s">
        <v>372</v>
      </c>
      <c r="E50" s="73">
        <f>+INPC!B528</f>
        <v>75.155507999999998</v>
      </c>
    </row>
    <row r="51" spans="1:11" x14ac:dyDescent="0.2">
      <c r="B51" s="12"/>
    </row>
    <row r="52" spans="1:11" ht="15" x14ac:dyDescent="0.25">
      <c r="B52" s="14" t="s">
        <v>197</v>
      </c>
      <c r="F52" s="75">
        <f>+F47*F49</f>
        <v>2647050</v>
      </c>
    </row>
    <row r="54" spans="1:11" ht="15" x14ac:dyDescent="0.25">
      <c r="B54" s="29" t="s">
        <v>217</v>
      </c>
    </row>
    <row r="56" spans="1:11" x14ac:dyDescent="0.2">
      <c r="B56" s="78" t="s">
        <v>34</v>
      </c>
      <c r="C56" s="78" t="s">
        <v>201</v>
      </c>
      <c r="D56" s="78" t="s">
        <v>198</v>
      </c>
      <c r="E56" s="78" t="s">
        <v>202</v>
      </c>
      <c r="F56" s="78" t="s">
        <v>203</v>
      </c>
      <c r="G56" s="78" t="s">
        <v>204</v>
      </c>
      <c r="H56" s="78" t="s">
        <v>74</v>
      </c>
      <c r="I56" s="78" t="s">
        <v>207</v>
      </c>
      <c r="J56" s="78" t="s">
        <v>208</v>
      </c>
      <c r="K56" s="78" t="s">
        <v>145</v>
      </c>
    </row>
    <row r="57" spans="1:11" x14ac:dyDescent="0.2">
      <c r="B57" s="1" t="s">
        <v>163</v>
      </c>
      <c r="C57" s="1">
        <v>3800000</v>
      </c>
      <c r="D57" s="1">
        <f>+F36</f>
        <v>2435550</v>
      </c>
      <c r="E57" s="1">
        <f>+C57-D57</f>
        <v>1364450</v>
      </c>
      <c r="F57" s="79">
        <v>12</v>
      </c>
      <c r="G57" s="1">
        <f>+E57/F57</f>
        <v>113704.16666666667</v>
      </c>
      <c r="H57" s="73">
        <f>+E72</f>
        <v>0.1656</v>
      </c>
      <c r="I57" s="1">
        <f>(G57*H57)*F57</f>
        <v>225952.91999999998</v>
      </c>
      <c r="J57" s="1">
        <f>+E57*0.05</f>
        <v>68222.5</v>
      </c>
      <c r="K57" s="1">
        <f>+I57-J57</f>
        <v>157730.41999999998</v>
      </c>
    </row>
    <row r="58" spans="1:11" x14ac:dyDescent="0.2">
      <c r="B58" s="1" t="s">
        <v>160</v>
      </c>
      <c r="C58" s="25">
        <v>5000000</v>
      </c>
      <c r="D58" s="25">
        <f>+F52</f>
        <v>2647050</v>
      </c>
      <c r="E58" s="25">
        <f>+C58-D58</f>
        <v>2352950</v>
      </c>
      <c r="F58" s="82">
        <v>10</v>
      </c>
      <c r="G58" s="25">
        <f>+E58/F58</f>
        <v>235295</v>
      </c>
      <c r="H58" s="74">
        <f>+E72</f>
        <v>0.1656</v>
      </c>
      <c r="I58" s="25">
        <f>(G58*H58)*F58</f>
        <v>389648.52</v>
      </c>
      <c r="J58" s="25">
        <f>+E58*0.05</f>
        <v>117647.5</v>
      </c>
      <c r="K58" s="25">
        <f>+I58-J58</f>
        <v>272001.02</v>
      </c>
    </row>
    <row r="59" spans="1:11" ht="15" x14ac:dyDescent="0.25">
      <c r="C59" s="15">
        <f>SUM(C57:C58)</f>
        <v>8800000</v>
      </c>
      <c r="D59" s="15">
        <f t="shared" ref="D59:E59" si="0">SUM(D57:D58)</f>
        <v>5082600</v>
      </c>
      <c r="E59" s="81">
        <f t="shared" si="0"/>
        <v>3717400</v>
      </c>
      <c r="G59" s="177">
        <f>SUM(G57:G58)</f>
        <v>348999.16666666669</v>
      </c>
      <c r="I59" s="81">
        <f t="shared" ref="I59:J59" si="1">SUM(I57:I58)</f>
        <v>615601.43999999994</v>
      </c>
      <c r="J59" s="15">
        <f t="shared" si="1"/>
        <v>185870</v>
      </c>
      <c r="K59" s="15">
        <f>SUM(K57:K58)</f>
        <v>429731.44</v>
      </c>
    </row>
    <row r="61" spans="1:11" ht="15" x14ac:dyDescent="0.25">
      <c r="B61" s="184" t="s">
        <v>81</v>
      </c>
      <c r="C61" s="184"/>
      <c r="D61" s="184"/>
      <c r="E61" s="45" t="s">
        <v>48</v>
      </c>
    </row>
    <row r="62" spans="1:11" x14ac:dyDescent="0.2">
      <c r="A62" s="12"/>
      <c r="B62" s="12" t="s">
        <v>205</v>
      </c>
      <c r="E62" s="1">
        <f>+G59</f>
        <v>348999.16666666669</v>
      </c>
    </row>
    <row r="63" spans="1:11" x14ac:dyDescent="0.2">
      <c r="A63" s="20" t="s">
        <v>36</v>
      </c>
      <c r="B63" s="12" t="s">
        <v>1</v>
      </c>
      <c r="E63" s="22">
        <f>VLOOKUP(E62,Tarifas!N3:Q16,1)</f>
        <v>323862.01</v>
      </c>
    </row>
    <row r="64" spans="1:11" x14ac:dyDescent="0.2">
      <c r="A64" s="20" t="s">
        <v>37</v>
      </c>
      <c r="B64" s="12" t="s">
        <v>38</v>
      </c>
      <c r="E64" s="16">
        <f>+E62-E63</f>
        <v>25137.156666666677</v>
      </c>
    </row>
    <row r="65" spans="1:13" x14ac:dyDescent="0.2">
      <c r="A65" s="20" t="s">
        <v>39</v>
      </c>
      <c r="B65" s="12" t="s">
        <v>40</v>
      </c>
      <c r="E65" s="23">
        <f>VLOOKUP(E62,Tarifas!N3:Q16,4)/100</f>
        <v>0.23519999999999999</v>
      </c>
    </row>
    <row r="66" spans="1:13" x14ac:dyDescent="0.2">
      <c r="A66" s="20" t="s">
        <v>37</v>
      </c>
      <c r="B66" s="12" t="s">
        <v>41</v>
      </c>
      <c r="E66" s="16">
        <f>+E64*E65</f>
        <v>5912.2592480000021</v>
      </c>
    </row>
    <row r="67" spans="1:13" x14ac:dyDescent="0.2">
      <c r="A67" s="20" t="s">
        <v>42</v>
      </c>
      <c r="B67" s="12" t="s">
        <v>3</v>
      </c>
      <c r="E67" s="22">
        <f>VLOOKUP(E62,Tarifas!N3:Q16,3)</f>
        <v>51883.01</v>
      </c>
    </row>
    <row r="68" spans="1:13" ht="15" x14ac:dyDescent="0.25">
      <c r="A68" s="26" t="s">
        <v>37</v>
      </c>
      <c r="B68" s="14" t="s">
        <v>43</v>
      </c>
      <c r="E68" s="27">
        <f>+E66+E67</f>
        <v>57795.269248000004</v>
      </c>
    </row>
    <row r="69" spans="1:13" x14ac:dyDescent="0.2">
      <c r="A69" s="12"/>
      <c r="B69" s="12"/>
      <c r="E69" s="12"/>
    </row>
    <row r="70" spans="1:13" x14ac:dyDescent="0.2">
      <c r="A70" s="12"/>
      <c r="B70" s="12" t="s">
        <v>43</v>
      </c>
      <c r="E70" s="16">
        <f>+E68</f>
        <v>57795.269248000004</v>
      </c>
    </row>
    <row r="71" spans="1:13" ht="15" x14ac:dyDescent="0.25">
      <c r="A71" s="34" t="s">
        <v>73</v>
      </c>
      <c r="B71" s="12" t="s">
        <v>205</v>
      </c>
      <c r="E71" s="22">
        <f>+E62</f>
        <v>348999.16666666669</v>
      </c>
    </row>
    <row r="72" spans="1:13" ht="15" x14ac:dyDescent="0.25">
      <c r="A72" s="26" t="s">
        <v>37</v>
      </c>
      <c r="B72" s="120" t="s">
        <v>206</v>
      </c>
      <c r="E72" s="80">
        <f>TRUNC(E70/E71, 4)</f>
        <v>0.1656</v>
      </c>
    </row>
    <row r="75" spans="1:13" ht="15" x14ac:dyDescent="0.25">
      <c r="B75" s="29" t="s">
        <v>218</v>
      </c>
      <c r="I75" s="12"/>
      <c r="J75" s="29" t="s">
        <v>219</v>
      </c>
      <c r="K75" s="12"/>
      <c r="L75" s="12"/>
      <c r="M75" s="12"/>
    </row>
    <row r="76" spans="1:13" ht="15" x14ac:dyDescent="0.25">
      <c r="A76" s="12"/>
      <c r="B76" s="183" t="s">
        <v>81</v>
      </c>
      <c r="C76" s="183"/>
      <c r="D76" s="183"/>
      <c r="E76" s="44" t="s">
        <v>82</v>
      </c>
      <c r="F76" s="44" t="s">
        <v>83</v>
      </c>
      <c r="I76" s="12"/>
      <c r="J76" s="44" t="s">
        <v>81</v>
      </c>
      <c r="K76" s="44"/>
      <c r="L76" s="44"/>
      <c r="M76" s="44" t="s">
        <v>82</v>
      </c>
    </row>
    <row r="77" spans="1:13" x14ac:dyDescent="0.2">
      <c r="A77" s="12"/>
      <c r="B77" s="12" t="s">
        <v>209</v>
      </c>
      <c r="C77" s="12"/>
      <c r="D77" s="12"/>
      <c r="E77" s="16">
        <f>+C59</f>
        <v>8800000</v>
      </c>
      <c r="F77" s="16">
        <v>0</v>
      </c>
      <c r="I77" s="12"/>
      <c r="J77" s="12" t="s">
        <v>93</v>
      </c>
      <c r="K77" s="12"/>
      <c r="L77" s="12"/>
      <c r="M77" s="16">
        <v>12000</v>
      </c>
    </row>
    <row r="78" spans="1:13" x14ac:dyDescent="0.2">
      <c r="A78" s="20"/>
      <c r="B78" s="33"/>
      <c r="C78" s="33"/>
      <c r="D78" s="33"/>
      <c r="E78" s="22"/>
      <c r="F78" s="22"/>
      <c r="I78" s="20" t="s">
        <v>42</v>
      </c>
      <c r="J78" s="12" t="s">
        <v>94</v>
      </c>
      <c r="K78" s="12"/>
      <c r="L78" s="12"/>
      <c r="M78" s="16">
        <v>9000</v>
      </c>
    </row>
    <row r="79" spans="1:13" ht="15" x14ac:dyDescent="0.25">
      <c r="A79" s="36" t="s">
        <v>37</v>
      </c>
      <c r="B79" s="14" t="s">
        <v>210</v>
      </c>
      <c r="C79" s="12"/>
      <c r="D79" s="12"/>
      <c r="E79" s="27">
        <f>SUM(E77:E78)</f>
        <v>8800000</v>
      </c>
      <c r="F79" s="27">
        <f>SUM(F77:F78)</f>
        <v>0</v>
      </c>
      <c r="I79" s="20" t="s">
        <v>42</v>
      </c>
      <c r="J79" s="12" t="s">
        <v>95</v>
      </c>
      <c r="K79" s="12"/>
      <c r="L79" s="12"/>
      <c r="M79" s="16">
        <v>0</v>
      </c>
    </row>
    <row r="80" spans="1:13" x14ac:dyDescent="0.2">
      <c r="A80" s="12"/>
      <c r="B80" s="12"/>
      <c r="C80" s="12"/>
      <c r="D80" s="12"/>
      <c r="E80" s="12"/>
      <c r="F80" s="12"/>
      <c r="I80" s="20" t="s">
        <v>42</v>
      </c>
      <c r="J80" s="12" t="s">
        <v>96</v>
      </c>
      <c r="K80" s="12"/>
      <c r="L80" s="12"/>
      <c r="M80" s="16">
        <v>10500</v>
      </c>
    </row>
    <row r="81" spans="1:13" x14ac:dyDescent="0.2">
      <c r="A81" s="12"/>
      <c r="B81" s="12" t="s">
        <v>89</v>
      </c>
      <c r="C81" s="12"/>
      <c r="D81" s="12"/>
      <c r="E81" s="12"/>
      <c r="F81" s="16">
        <f>+E79*0.15</f>
        <v>1320000</v>
      </c>
      <c r="I81" s="20" t="s">
        <v>42</v>
      </c>
      <c r="J81" s="12" t="s">
        <v>97</v>
      </c>
      <c r="K81" s="12"/>
      <c r="L81" s="12"/>
      <c r="M81" s="16">
        <v>0</v>
      </c>
    </row>
    <row r="82" spans="1:13" x14ac:dyDescent="0.2">
      <c r="A82" s="12"/>
      <c r="B82" s="12" t="s">
        <v>90</v>
      </c>
      <c r="C82" s="12"/>
      <c r="D82" s="12"/>
      <c r="E82" s="12"/>
      <c r="F82" s="1">
        <f>5*'Caso 5'!$G$17</f>
        <v>163467</v>
      </c>
      <c r="G82" s="46" t="s">
        <v>146</v>
      </c>
      <c r="I82" s="20" t="s">
        <v>42</v>
      </c>
      <c r="J82" s="33" t="s">
        <v>98</v>
      </c>
      <c r="K82" s="33"/>
      <c r="L82" s="33"/>
      <c r="M82" s="22">
        <v>0</v>
      </c>
    </row>
    <row r="83" spans="1:13" ht="15" x14ac:dyDescent="0.25">
      <c r="A83" s="12"/>
      <c r="B83" s="12"/>
      <c r="C83" s="12"/>
      <c r="D83" s="12"/>
      <c r="E83" s="12"/>
      <c r="F83" s="12"/>
      <c r="I83" s="36" t="s">
        <v>37</v>
      </c>
      <c r="J83" s="14" t="s">
        <v>99</v>
      </c>
      <c r="K83" s="12"/>
      <c r="L83" s="12"/>
      <c r="M83" s="27">
        <f>SUM(M77:M82)</f>
        <v>31500</v>
      </c>
    </row>
    <row r="84" spans="1:13" x14ac:dyDescent="0.2">
      <c r="A84" s="12"/>
      <c r="B84" s="12" t="s">
        <v>147</v>
      </c>
      <c r="C84" s="12"/>
      <c r="D84" s="12"/>
      <c r="E84" s="12"/>
      <c r="F84" s="16">
        <f>+Q68</f>
        <v>0</v>
      </c>
      <c r="I84" s="12"/>
      <c r="J84" s="12"/>
      <c r="K84" s="12"/>
      <c r="L84" s="12"/>
      <c r="M84" s="12"/>
    </row>
    <row r="85" spans="1:13" x14ac:dyDescent="0.2">
      <c r="A85" s="12"/>
      <c r="B85" s="12" t="s">
        <v>148</v>
      </c>
      <c r="C85" s="12"/>
      <c r="D85" s="12"/>
      <c r="E85" s="12"/>
      <c r="F85" s="16">
        <f>+I59</f>
        <v>615601.43999999994</v>
      </c>
      <c r="I85" s="12"/>
      <c r="J85" s="12"/>
      <c r="K85" s="12"/>
      <c r="L85" s="12"/>
      <c r="M85" s="12"/>
    </row>
    <row r="86" spans="1:13" ht="15" x14ac:dyDescent="0.25">
      <c r="J86" s="29" t="s">
        <v>220</v>
      </c>
    </row>
    <row r="87" spans="1:13" ht="15" x14ac:dyDescent="0.25">
      <c r="B87" s="29" t="s">
        <v>221</v>
      </c>
      <c r="I87" s="12"/>
      <c r="J87" s="44" t="s">
        <v>81</v>
      </c>
      <c r="K87" s="44"/>
      <c r="L87" s="44"/>
      <c r="M87" s="44" t="s">
        <v>82</v>
      </c>
    </row>
    <row r="88" spans="1:13" ht="15" x14ac:dyDescent="0.25">
      <c r="B88" s="183" t="s">
        <v>67</v>
      </c>
      <c r="C88" s="183"/>
      <c r="D88" s="183"/>
      <c r="I88" s="12"/>
      <c r="J88" s="12" t="s">
        <v>102</v>
      </c>
      <c r="K88" s="12"/>
      <c r="L88" s="12"/>
      <c r="M88" s="16">
        <v>180000</v>
      </c>
    </row>
    <row r="89" spans="1:13" x14ac:dyDescent="0.2">
      <c r="B89" s="12" t="s">
        <v>71</v>
      </c>
      <c r="C89" s="12"/>
      <c r="D89" s="16">
        <f>+E59</f>
        <v>3717400</v>
      </c>
      <c r="I89" s="20" t="s">
        <v>42</v>
      </c>
      <c r="J89" s="33" t="s">
        <v>149</v>
      </c>
      <c r="K89" s="33"/>
      <c r="L89" s="33"/>
      <c r="M89" s="22">
        <v>0</v>
      </c>
    </row>
    <row r="90" spans="1:13" ht="15" x14ac:dyDescent="0.25">
      <c r="B90" s="33" t="s">
        <v>211</v>
      </c>
      <c r="C90" s="33"/>
      <c r="D90" s="22">
        <f>+G59</f>
        <v>348999.16666666669</v>
      </c>
      <c r="I90" s="36" t="s">
        <v>37</v>
      </c>
      <c r="J90" s="14" t="s">
        <v>103</v>
      </c>
      <c r="K90" s="12"/>
      <c r="L90" s="12"/>
      <c r="M90" s="27">
        <f>SUM(M88:M89)</f>
        <v>180000</v>
      </c>
    </row>
    <row r="91" spans="1:13" ht="15" x14ac:dyDescent="0.25">
      <c r="B91" s="14" t="s">
        <v>76</v>
      </c>
      <c r="C91" s="14"/>
      <c r="D91" s="27">
        <f>+D89-D90</f>
        <v>3368400.8333333335</v>
      </c>
    </row>
    <row r="92" spans="1:13" x14ac:dyDescent="0.2">
      <c r="B92" s="12"/>
      <c r="C92" s="12"/>
      <c r="D92" s="12"/>
    </row>
    <row r="93" spans="1:13" x14ac:dyDescent="0.2">
      <c r="B93" s="12" t="s">
        <v>78</v>
      </c>
      <c r="C93" s="12"/>
      <c r="D93" s="84">
        <f>+D90</f>
        <v>348999.16666666669</v>
      </c>
    </row>
    <row r="94" spans="1:13" x14ac:dyDescent="0.2">
      <c r="B94" s="12" t="s">
        <v>76</v>
      </c>
      <c r="C94" s="12"/>
      <c r="D94" s="16">
        <f>+D91</f>
        <v>3368400.8333333335</v>
      </c>
    </row>
    <row r="97" spans="1:13" ht="15" x14ac:dyDescent="0.25">
      <c r="A97" s="95"/>
      <c r="B97" s="103" t="s">
        <v>222</v>
      </c>
      <c r="C97" s="93"/>
      <c r="D97" s="93"/>
      <c r="E97" s="93"/>
      <c r="F97" s="95"/>
      <c r="H97" s="95"/>
      <c r="I97" s="103" t="s">
        <v>342</v>
      </c>
      <c r="J97" s="95"/>
      <c r="K97" s="95"/>
      <c r="L97" s="95"/>
      <c r="M97" s="95"/>
    </row>
    <row r="98" spans="1:13" ht="15" x14ac:dyDescent="0.25">
      <c r="A98" s="95"/>
      <c r="B98" s="183" t="s">
        <v>81</v>
      </c>
      <c r="C98" s="183"/>
      <c r="D98" s="183"/>
      <c r="E98" s="44" t="s">
        <v>48</v>
      </c>
      <c r="F98" s="95"/>
      <c r="H98" s="93"/>
      <c r="I98" s="44" t="s">
        <v>81</v>
      </c>
      <c r="J98" s="44"/>
      <c r="K98" s="44"/>
      <c r="L98" s="44" t="s">
        <v>48</v>
      </c>
      <c r="M98" s="95"/>
    </row>
    <row r="99" spans="1:13" x14ac:dyDescent="0.2">
      <c r="A99" s="93"/>
      <c r="B99" s="93" t="s">
        <v>210</v>
      </c>
      <c r="C99" s="93"/>
      <c r="D99" s="93"/>
      <c r="E99" s="94">
        <f>+D89</f>
        <v>3717400</v>
      </c>
      <c r="F99" s="95"/>
      <c r="H99" s="93"/>
      <c r="I99" s="93"/>
      <c r="J99" s="93"/>
      <c r="K99" s="93"/>
      <c r="L99" s="93"/>
      <c r="M99" s="95"/>
    </row>
    <row r="100" spans="1:13" x14ac:dyDescent="0.2">
      <c r="A100" s="96" t="s">
        <v>36</v>
      </c>
      <c r="B100" s="93" t="s">
        <v>104</v>
      </c>
      <c r="C100" s="93"/>
      <c r="D100" s="93"/>
      <c r="E100" s="97">
        <v>0</v>
      </c>
      <c r="F100" s="95"/>
      <c r="H100" s="93"/>
      <c r="I100" s="93" t="s">
        <v>212</v>
      </c>
      <c r="J100" s="93"/>
      <c r="K100" s="93"/>
      <c r="L100" s="18">
        <f>+L129</f>
        <v>55325.669247999962</v>
      </c>
      <c r="M100" s="95"/>
    </row>
    <row r="101" spans="1:13" ht="15" x14ac:dyDescent="0.25">
      <c r="A101" s="96" t="s">
        <v>37</v>
      </c>
      <c r="B101" s="93" t="s">
        <v>105</v>
      </c>
      <c r="C101" s="93"/>
      <c r="D101" s="93"/>
      <c r="E101" s="94">
        <f>+E99-E100</f>
        <v>3717400</v>
      </c>
      <c r="F101" s="95"/>
      <c r="H101" s="114" t="s">
        <v>73</v>
      </c>
      <c r="I101" s="93" t="s">
        <v>120</v>
      </c>
      <c r="J101" s="93"/>
      <c r="K101" s="93"/>
      <c r="L101" s="85">
        <f>+L123</f>
        <v>338499.16666666651</v>
      </c>
      <c r="M101" s="95"/>
    </row>
    <row r="102" spans="1:13" ht="15" x14ac:dyDescent="0.25">
      <c r="A102" s="96" t="s">
        <v>36</v>
      </c>
      <c r="B102" s="93" t="s">
        <v>106</v>
      </c>
      <c r="C102" s="93"/>
      <c r="D102" s="93"/>
      <c r="E102" s="97">
        <f>+D94</f>
        <v>3368400.8333333335</v>
      </c>
      <c r="F102" s="95"/>
      <c r="H102" s="114" t="s">
        <v>37</v>
      </c>
      <c r="I102" s="93" t="s">
        <v>74</v>
      </c>
      <c r="J102" s="93"/>
      <c r="K102" s="93"/>
      <c r="L102" s="115">
        <f>TRUNC(L100/L101, 4)</f>
        <v>0.16339999999999999</v>
      </c>
      <c r="M102" s="95"/>
    </row>
    <row r="103" spans="1:13" ht="15" x14ac:dyDescent="0.25">
      <c r="A103" s="96" t="s">
        <v>37</v>
      </c>
      <c r="B103" s="93" t="s">
        <v>107</v>
      </c>
      <c r="C103" s="93"/>
      <c r="D103" s="93"/>
      <c r="E103" s="84">
        <f>+E101-E102</f>
        <v>348999.16666666651</v>
      </c>
      <c r="F103" s="95"/>
      <c r="H103" s="114" t="s">
        <v>39</v>
      </c>
      <c r="I103" s="93" t="s">
        <v>75</v>
      </c>
      <c r="J103" s="93"/>
      <c r="K103" s="93"/>
      <c r="L103" s="94">
        <v>0</v>
      </c>
      <c r="M103" s="95"/>
    </row>
    <row r="104" spans="1:13" ht="15" x14ac:dyDescent="0.25">
      <c r="A104" s="96" t="s">
        <v>36</v>
      </c>
      <c r="B104" s="93" t="s">
        <v>108</v>
      </c>
      <c r="C104" s="93"/>
      <c r="D104" s="93"/>
      <c r="E104" s="97">
        <f>+M83+152000</f>
        <v>183500</v>
      </c>
      <c r="F104" s="95"/>
      <c r="H104" s="114" t="s">
        <v>37</v>
      </c>
      <c r="I104" s="93" t="s">
        <v>77</v>
      </c>
      <c r="J104" s="93"/>
      <c r="K104" s="93"/>
      <c r="L104" s="116">
        <f>+L102*L103/100</f>
        <v>0</v>
      </c>
      <c r="M104" s="95"/>
    </row>
    <row r="105" spans="1:13" ht="15" x14ac:dyDescent="0.25">
      <c r="A105" s="98" t="s">
        <v>37</v>
      </c>
      <c r="B105" s="99" t="s">
        <v>109</v>
      </c>
      <c r="C105" s="93"/>
      <c r="D105" s="93"/>
      <c r="E105" s="100">
        <f>+E103-E104</f>
        <v>165499.16666666651</v>
      </c>
      <c r="F105" s="95"/>
      <c r="H105" s="93"/>
      <c r="I105" s="93"/>
      <c r="J105" s="93"/>
      <c r="K105" s="93"/>
      <c r="L105" s="93"/>
      <c r="M105" s="95"/>
    </row>
    <row r="106" spans="1:13" x14ac:dyDescent="0.2">
      <c r="A106" s="96" t="s">
        <v>36</v>
      </c>
      <c r="B106" s="93" t="s">
        <v>1</v>
      </c>
      <c r="C106" s="93"/>
      <c r="D106" s="93"/>
      <c r="E106" s="97">
        <f>VLOOKUP(E105,Tarifas!N3:Q16,1)</f>
        <v>160577.66</v>
      </c>
      <c r="F106" s="95"/>
      <c r="H106" s="93"/>
      <c r="I106" s="93" t="s">
        <v>121</v>
      </c>
      <c r="J106" s="93"/>
      <c r="K106" s="93"/>
      <c r="L106" s="94">
        <f>+D94</f>
        <v>3368400.8333333335</v>
      </c>
      <c r="M106" s="95"/>
    </row>
    <row r="107" spans="1:13" ht="15" x14ac:dyDescent="0.25">
      <c r="A107" s="96" t="s">
        <v>37</v>
      </c>
      <c r="B107" s="93" t="s">
        <v>38</v>
      </c>
      <c r="C107" s="93"/>
      <c r="D107" s="93"/>
      <c r="E107" s="94">
        <f>+E105-E106</f>
        <v>4921.506666666508</v>
      </c>
      <c r="F107" s="95"/>
      <c r="H107" s="114" t="s">
        <v>39</v>
      </c>
      <c r="I107" s="105" t="s">
        <v>74</v>
      </c>
      <c r="J107" s="105"/>
      <c r="K107" s="105"/>
      <c r="L107" s="153">
        <f>+L102</f>
        <v>0.16339999999999999</v>
      </c>
      <c r="M107" s="95"/>
    </row>
    <row r="108" spans="1:13" ht="15" x14ac:dyDescent="0.25">
      <c r="A108" s="96" t="s">
        <v>39</v>
      </c>
      <c r="B108" s="93" t="s">
        <v>40</v>
      </c>
      <c r="C108" s="93"/>
      <c r="D108" s="93"/>
      <c r="E108" s="101">
        <f>VLOOKUP(E105,Tarifas!N3:Q16,4)/100</f>
        <v>0.21359999999999998</v>
      </c>
      <c r="F108" s="95"/>
      <c r="H108" s="104" t="s">
        <v>37</v>
      </c>
      <c r="I108" s="99" t="s">
        <v>122</v>
      </c>
      <c r="J108" s="99"/>
      <c r="K108" s="99"/>
      <c r="L108" s="100">
        <f>+L106*L107</f>
        <v>550396.69616666669</v>
      </c>
      <c r="M108" s="95"/>
    </row>
    <row r="109" spans="1:13" x14ac:dyDescent="0.2">
      <c r="A109" s="96" t="s">
        <v>37</v>
      </c>
      <c r="B109" s="93" t="s">
        <v>41</v>
      </c>
      <c r="C109" s="93"/>
      <c r="D109" s="93"/>
      <c r="E109" s="94">
        <f>+E107*E108</f>
        <v>1051.233823999966</v>
      </c>
      <c r="F109" s="95"/>
    </row>
    <row r="110" spans="1:13" x14ac:dyDescent="0.2">
      <c r="A110" s="96" t="s">
        <v>42</v>
      </c>
      <c r="B110" s="93" t="s">
        <v>3</v>
      </c>
      <c r="C110" s="93"/>
      <c r="D110" s="93"/>
      <c r="E110" s="97">
        <f>VLOOKUP(E105,Tarifas!N3:Q16,3)</f>
        <v>17005.47</v>
      </c>
      <c r="F110" s="95"/>
    </row>
    <row r="111" spans="1:13" ht="15" x14ac:dyDescent="0.25">
      <c r="A111" s="98" t="s">
        <v>37</v>
      </c>
      <c r="B111" s="99" t="s">
        <v>212</v>
      </c>
      <c r="C111" s="99"/>
      <c r="D111" s="99"/>
      <c r="E111" s="100">
        <f>+E109+E110</f>
        <v>18056.703823999967</v>
      </c>
      <c r="F111" s="95"/>
    </row>
    <row r="115" spans="1:13" ht="15" x14ac:dyDescent="0.25">
      <c r="A115" s="93"/>
      <c r="B115" s="103" t="s">
        <v>223</v>
      </c>
      <c r="C115" s="93"/>
      <c r="D115" s="93"/>
      <c r="E115" s="93"/>
      <c r="F115" s="95"/>
      <c r="H115" s="95"/>
      <c r="I115" s="103" t="s">
        <v>343</v>
      </c>
      <c r="J115" s="93"/>
      <c r="K115" s="93"/>
      <c r="L115" s="93"/>
      <c r="M115" s="95"/>
    </row>
    <row r="116" spans="1:13" ht="15" x14ac:dyDescent="0.25">
      <c r="A116" s="93"/>
      <c r="B116" s="183" t="s">
        <v>81</v>
      </c>
      <c r="C116" s="183"/>
      <c r="D116" s="183"/>
      <c r="E116" s="44" t="s">
        <v>48</v>
      </c>
      <c r="F116" s="95"/>
      <c r="H116" s="95"/>
      <c r="I116" s="183" t="s">
        <v>81</v>
      </c>
      <c r="J116" s="183"/>
      <c r="K116" s="183"/>
      <c r="L116" s="118" t="s">
        <v>48</v>
      </c>
      <c r="M116" s="95"/>
    </row>
    <row r="117" spans="1:13" x14ac:dyDescent="0.2">
      <c r="A117" s="93"/>
      <c r="B117" s="93" t="s">
        <v>111</v>
      </c>
      <c r="C117" s="93"/>
      <c r="D117" s="93"/>
      <c r="E117" s="94">
        <f>+E111</f>
        <v>18056.703823999967</v>
      </c>
      <c r="F117" s="95"/>
      <c r="H117" s="93"/>
      <c r="I117" s="93" t="s">
        <v>210</v>
      </c>
      <c r="J117" s="93"/>
      <c r="K117" s="93"/>
      <c r="L117" s="94">
        <f>+E59</f>
        <v>3717400</v>
      </c>
      <c r="M117" s="95"/>
    </row>
    <row r="118" spans="1:13" x14ac:dyDescent="0.2">
      <c r="A118" s="96" t="s">
        <v>42</v>
      </c>
      <c r="B118" s="93" t="s">
        <v>122</v>
      </c>
      <c r="C118" s="93"/>
      <c r="D118" s="93"/>
      <c r="E118" s="97">
        <f>+L108</f>
        <v>550396.69616666669</v>
      </c>
      <c r="F118" s="95"/>
      <c r="H118" s="96" t="s">
        <v>36</v>
      </c>
      <c r="I118" s="93" t="s">
        <v>104</v>
      </c>
      <c r="J118" s="93"/>
      <c r="K118" s="93"/>
      <c r="L118" s="97">
        <v>0</v>
      </c>
      <c r="M118" s="95"/>
    </row>
    <row r="119" spans="1:13" ht="15" x14ac:dyDescent="0.25">
      <c r="A119" s="98" t="s">
        <v>37</v>
      </c>
      <c r="B119" s="99" t="s">
        <v>123</v>
      </c>
      <c r="C119" s="99"/>
      <c r="D119" s="99"/>
      <c r="E119" s="100">
        <f>+E117+E118</f>
        <v>568453.39999066666</v>
      </c>
      <c r="F119" s="95"/>
      <c r="H119" s="96" t="s">
        <v>37</v>
      </c>
      <c r="I119" s="93" t="s">
        <v>105</v>
      </c>
      <c r="J119" s="93"/>
      <c r="K119" s="93"/>
      <c r="L119" s="94">
        <f>+L117-L118</f>
        <v>3717400</v>
      </c>
      <c r="M119" s="95"/>
    </row>
    <row r="120" spans="1:13" x14ac:dyDescent="0.2">
      <c r="A120" s="96" t="s">
        <v>36</v>
      </c>
      <c r="B120" s="93" t="s">
        <v>213</v>
      </c>
      <c r="C120" s="93"/>
      <c r="D120" s="93"/>
      <c r="E120" s="97">
        <f>+I59</f>
        <v>615601.43999999994</v>
      </c>
      <c r="F120" s="95"/>
      <c r="H120" s="96" t="s">
        <v>36</v>
      </c>
      <c r="I120" s="93" t="s">
        <v>106</v>
      </c>
      <c r="J120" s="93"/>
      <c r="K120" s="93"/>
      <c r="L120" s="97">
        <f>+D94</f>
        <v>3368400.8333333335</v>
      </c>
      <c r="M120" s="95"/>
    </row>
    <row r="121" spans="1:13" ht="15" x14ac:dyDescent="0.25">
      <c r="A121" s="98" t="s">
        <v>37</v>
      </c>
      <c r="B121" s="99" t="s">
        <v>125</v>
      </c>
      <c r="C121" s="93"/>
      <c r="D121" s="93"/>
      <c r="E121" s="152">
        <f>+E119-E120</f>
        <v>-47148.040009333286</v>
      </c>
      <c r="F121" s="95"/>
      <c r="H121" s="96" t="s">
        <v>37</v>
      </c>
      <c r="I121" s="93" t="s">
        <v>107</v>
      </c>
      <c r="J121" s="93"/>
      <c r="K121" s="93"/>
      <c r="L121" s="94">
        <f>+L119-L120</f>
        <v>348999.16666666651</v>
      </c>
      <c r="M121" s="95"/>
    </row>
    <row r="122" spans="1:13" x14ac:dyDescent="0.2">
      <c r="H122" s="96" t="s">
        <v>36</v>
      </c>
      <c r="I122" s="93" t="s">
        <v>108</v>
      </c>
      <c r="J122" s="93"/>
      <c r="K122" s="93"/>
      <c r="L122" s="97">
        <f>+M80</f>
        <v>10500</v>
      </c>
      <c r="M122" s="95"/>
    </row>
    <row r="123" spans="1:13" ht="15" x14ac:dyDescent="0.25">
      <c r="H123" s="98" t="s">
        <v>37</v>
      </c>
      <c r="I123" s="99" t="s">
        <v>109</v>
      </c>
      <c r="J123" s="93"/>
      <c r="K123" s="93"/>
      <c r="L123" s="40">
        <f>+L121-L122</f>
        <v>338499.16666666651</v>
      </c>
      <c r="M123" s="95"/>
    </row>
    <row r="124" spans="1:13" x14ac:dyDescent="0.2">
      <c r="H124" s="96" t="s">
        <v>36</v>
      </c>
      <c r="I124" s="93" t="s">
        <v>1</v>
      </c>
      <c r="J124" s="93"/>
      <c r="K124" s="93"/>
      <c r="L124" s="97">
        <f>VLOOKUP(L123,Tarifas!N3:Q16,1)</f>
        <v>323862.01</v>
      </c>
      <c r="M124" s="95"/>
    </row>
    <row r="125" spans="1:13" x14ac:dyDescent="0.2">
      <c r="H125" s="96" t="s">
        <v>37</v>
      </c>
      <c r="I125" s="93" t="s">
        <v>38</v>
      </c>
      <c r="J125" s="93"/>
      <c r="K125" s="93"/>
      <c r="L125" s="94">
        <f>+L123-L124</f>
        <v>14637.156666666502</v>
      </c>
      <c r="M125" s="95"/>
    </row>
    <row r="126" spans="1:13" x14ac:dyDescent="0.2">
      <c r="H126" s="96" t="s">
        <v>39</v>
      </c>
      <c r="I126" s="93" t="s">
        <v>40</v>
      </c>
      <c r="J126" s="93"/>
      <c r="K126" s="93"/>
      <c r="L126" s="101">
        <f>VLOOKUP(L123,Tarifas!N3:Q16,4)/100</f>
        <v>0.23519999999999999</v>
      </c>
      <c r="M126" s="95"/>
    </row>
    <row r="127" spans="1:13" x14ac:dyDescent="0.2">
      <c r="H127" s="96" t="s">
        <v>37</v>
      </c>
      <c r="I127" s="93" t="s">
        <v>41</v>
      </c>
      <c r="J127" s="93"/>
      <c r="K127" s="93"/>
      <c r="L127" s="94">
        <f>+L125*L126</f>
        <v>3442.6592479999613</v>
      </c>
      <c r="M127" s="95"/>
    </row>
    <row r="128" spans="1:13" x14ac:dyDescent="0.2">
      <c r="H128" s="96" t="s">
        <v>42</v>
      </c>
      <c r="I128" s="93" t="s">
        <v>3</v>
      </c>
      <c r="J128" s="93"/>
      <c r="K128" s="93"/>
      <c r="L128" s="97">
        <f>VLOOKUP(L123,Tarifas!N3:Q16,3)</f>
        <v>51883.01</v>
      </c>
      <c r="M128" s="95"/>
    </row>
    <row r="129" spans="8:13" ht="15" x14ac:dyDescent="0.25">
      <c r="H129" s="98" t="s">
        <v>37</v>
      </c>
      <c r="I129" s="99" t="s">
        <v>212</v>
      </c>
      <c r="J129" s="99"/>
      <c r="K129" s="99"/>
      <c r="L129" s="40">
        <f>+L127+L128</f>
        <v>55325.669247999962</v>
      </c>
      <c r="M129" s="95"/>
    </row>
  </sheetData>
  <mergeCells count="8">
    <mergeCell ref="I116:K116"/>
    <mergeCell ref="B88:D88"/>
    <mergeCell ref="B98:D98"/>
    <mergeCell ref="B116:D116"/>
    <mergeCell ref="B30:E30"/>
    <mergeCell ref="B39:E39"/>
    <mergeCell ref="B61:D61"/>
    <mergeCell ref="B76:D76"/>
  </mergeCells>
  <pageMargins left="0.7" right="0.7" top="0.75" bottom="0.75" header="0.3" footer="0.3"/>
  <pageSetup orientation="portrait" r:id="rId1"/>
  <ignoredErrors>
    <ignoredError sqref="E102 E104 E106 L120 L122 L124" formula="1"/>
  </ignoredError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7F248A-A0CA-410A-B37D-E3E51C126C9A}">
  <sheetPr>
    <tabColor rgb="FFC00000"/>
  </sheetPr>
  <dimension ref="A10:F44"/>
  <sheetViews>
    <sheetView zoomScaleNormal="100" workbookViewId="0">
      <selection activeCell="B14" sqref="B14"/>
    </sheetView>
  </sheetViews>
  <sheetFormatPr baseColWidth="10" defaultRowHeight="14.25" x14ac:dyDescent="0.2"/>
  <cols>
    <col min="1" max="1" width="4.875" style="1" customWidth="1"/>
    <col min="2" max="2" width="12.375" style="1" customWidth="1"/>
    <col min="3" max="4" width="12.625" style="1" bestFit="1" customWidth="1"/>
    <col min="5" max="5" width="12.875" style="1" customWidth="1"/>
    <col min="6" max="6" width="13" style="1" customWidth="1"/>
    <col min="7" max="7" width="12.125" style="1" customWidth="1"/>
    <col min="8" max="11" width="11" style="1"/>
    <col min="12" max="12" width="12.625" style="1" bestFit="1" customWidth="1"/>
    <col min="13" max="16384" width="11" style="1"/>
  </cols>
  <sheetData>
    <row r="10" spans="2:2" ht="15" x14ac:dyDescent="0.25">
      <c r="B10" s="89" t="s">
        <v>373</v>
      </c>
    </row>
    <row r="12" spans="2:2" ht="15" x14ac:dyDescent="0.25">
      <c r="B12" s="29" t="s">
        <v>61</v>
      </c>
    </row>
    <row r="13" spans="2:2" ht="15" x14ac:dyDescent="0.25">
      <c r="B13" s="14" t="s">
        <v>388</v>
      </c>
    </row>
    <row r="14" spans="2:2" x14ac:dyDescent="0.2">
      <c r="B14" s="12" t="s">
        <v>389</v>
      </c>
    </row>
    <row r="15" spans="2:2" x14ac:dyDescent="0.2">
      <c r="B15" s="12"/>
    </row>
    <row r="16" spans="2:2" ht="15" x14ac:dyDescent="0.25">
      <c r="B16" s="29" t="s">
        <v>390</v>
      </c>
    </row>
    <row r="17" spans="1:6" x14ac:dyDescent="0.2">
      <c r="B17" s="12"/>
    </row>
    <row r="18" spans="1:6" ht="15" x14ac:dyDescent="0.25">
      <c r="B18" s="183" t="s">
        <v>81</v>
      </c>
      <c r="C18" s="183"/>
      <c r="D18" s="183"/>
      <c r="E18" s="154" t="s">
        <v>48</v>
      </c>
    </row>
    <row r="19" spans="1:6" x14ac:dyDescent="0.2">
      <c r="B19" s="12" t="s">
        <v>374</v>
      </c>
      <c r="E19" s="1">
        <v>250000</v>
      </c>
    </row>
    <row r="20" spans="1:6" x14ac:dyDescent="0.2">
      <c r="A20" s="76" t="s">
        <v>39</v>
      </c>
      <c r="B20" s="12" t="s">
        <v>375</v>
      </c>
      <c r="E20" s="74">
        <v>1.4286000000000001</v>
      </c>
    </row>
    <row r="21" spans="1:6" x14ac:dyDescent="0.2">
      <c r="A21" s="76" t="s">
        <v>37</v>
      </c>
      <c r="B21" s="12" t="s">
        <v>376</v>
      </c>
      <c r="E21" s="1">
        <f>+E19*E20</f>
        <v>357150</v>
      </c>
    </row>
    <row r="22" spans="1:6" x14ac:dyDescent="0.2">
      <c r="A22" s="76" t="s">
        <v>39</v>
      </c>
      <c r="B22" s="12" t="s">
        <v>377</v>
      </c>
      <c r="E22" s="178">
        <v>0.3</v>
      </c>
    </row>
    <row r="23" spans="1:6" ht="15" x14ac:dyDescent="0.25">
      <c r="A23" s="77" t="s">
        <v>37</v>
      </c>
      <c r="B23" s="14" t="s">
        <v>378</v>
      </c>
      <c r="C23" s="15"/>
      <c r="D23" s="15"/>
      <c r="E23" s="179">
        <f>+E21*E22</f>
        <v>107145</v>
      </c>
    </row>
    <row r="24" spans="1:6" x14ac:dyDescent="0.2">
      <c r="B24" s="12"/>
    </row>
    <row r="25" spans="1:6" x14ac:dyDescent="0.2">
      <c r="B25" s="12" t="s">
        <v>379</v>
      </c>
      <c r="E25" s="1">
        <f>+E21</f>
        <v>357150</v>
      </c>
    </row>
    <row r="26" spans="1:6" x14ac:dyDescent="0.2">
      <c r="A26" s="76" t="s">
        <v>36</v>
      </c>
      <c r="B26" s="12" t="s">
        <v>378</v>
      </c>
      <c r="E26" s="25">
        <f>+E23</f>
        <v>107145</v>
      </c>
    </row>
    <row r="27" spans="1:6" ht="15" x14ac:dyDescent="0.25">
      <c r="A27" s="77" t="s">
        <v>37</v>
      </c>
      <c r="B27" s="14" t="s">
        <v>380</v>
      </c>
      <c r="C27" s="15"/>
      <c r="D27" s="15"/>
      <c r="E27" s="179">
        <f>+E25-E26</f>
        <v>250005</v>
      </c>
    </row>
    <row r="28" spans="1:6" x14ac:dyDescent="0.2">
      <c r="B28" s="12"/>
    </row>
    <row r="29" spans="1:6" ht="15" x14ac:dyDescent="0.25">
      <c r="B29" s="183" t="s">
        <v>81</v>
      </c>
      <c r="C29" s="183"/>
      <c r="D29" s="183"/>
      <c r="E29" s="154" t="s">
        <v>381</v>
      </c>
      <c r="F29" s="154" t="s">
        <v>382</v>
      </c>
    </row>
    <row r="30" spans="1:6" x14ac:dyDescent="0.2">
      <c r="B30" s="12" t="s">
        <v>383</v>
      </c>
      <c r="E30" s="1">
        <f>+E19</f>
        <v>250000</v>
      </c>
      <c r="F30" s="1">
        <f>+E27</f>
        <v>250005</v>
      </c>
    </row>
    <row r="31" spans="1:6" x14ac:dyDescent="0.2">
      <c r="A31" s="20" t="s">
        <v>42</v>
      </c>
      <c r="B31" s="12" t="s">
        <v>378</v>
      </c>
      <c r="E31" s="25"/>
      <c r="F31" s="25">
        <f>+E26</f>
        <v>107145</v>
      </c>
    </row>
    <row r="32" spans="1:6" x14ac:dyDescent="0.2">
      <c r="A32" s="20" t="s">
        <v>37</v>
      </c>
      <c r="B32" s="12" t="s">
        <v>384</v>
      </c>
      <c r="E32" s="1">
        <f>+E30+E31</f>
        <v>250000</v>
      </c>
      <c r="F32" s="1">
        <f>+F30+F31</f>
        <v>357150</v>
      </c>
    </row>
    <row r="33" spans="1:6" x14ac:dyDescent="0.2">
      <c r="A33" s="20" t="s">
        <v>36</v>
      </c>
      <c r="B33" s="12" t="s">
        <v>1</v>
      </c>
      <c r="E33" s="22">
        <f>VLOOKUP(E32,Tarifas!N3:Q16,1)</f>
        <v>160577.66</v>
      </c>
      <c r="F33" s="22">
        <f>VLOOKUP(F32,Tarifas!N3:Q16,1)</f>
        <v>323862.01</v>
      </c>
    </row>
    <row r="34" spans="1:6" x14ac:dyDescent="0.2">
      <c r="A34" s="20" t="s">
        <v>37</v>
      </c>
      <c r="B34" s="12" t="s">
        <v>38</v>
      </c>
      <c r="E34" s="16">
        <f>+E32-E33</f>
        <v>89422.34</v>
      </c>
      <c r="F34" s="16">
        <f>+F32-F33</f>
        <v>33287.989999999991</v>
      </c>
    </row>
    <row r="35" spans="1:6" x14ac:dyDescent="0.2">
      <c r="A35" s="20" t="s">
        <v>39</v>
      </c>
      <c r="B35" s="12" t="s">
        <v>40</v>
      </c>
      <c r="E35" s="23">
        <f>VLOOKUP(E32,Tarifas!N3:Q16,4)/100</f>
        <v>0.21359999999999998</v>
      </c>
      <c r="F35" s="23">
        <f>VLOOKUP(F32,Tarifas!N3:Q16,4)/100</f>
        <v>0.23519999999999999</v>
      </c>
    </row>
    <row r="36" spans="1:6" x14ac:dyDescent="0.2">
      <c r="A36" s="20" t="s">
        <v>37</v>
      </c>
      <c r="B36" s="12" t="s">
        <v>41</v>
      </c>
      <c r="E36" s="16">
        <f>+E34*E35</f>
        <v>19100.611824</v>
      </c>
      <c r="F36" s="16">
        <f>+F34*F35</f>
        <v>7829.3352479999976</v>
      </c>
    </row>
    <row r="37" spans="1:6" x14ac:dyDescent="0.2">
      <c r="A37" s="20" t="s">
        <v>42</v>
      </c>
      <c r="B37" s="12" t="s">
        <v>3</v>
      </c>
      <c r="E37" s="22">
        <f>VLOOKUP(E32,Tarifas!N3:Q16,3)</f>
        <v>17005.47</v>
      </c>
      <c r="F37" s="22">
        <f>VLOOKUP(F32,Tarifas!N3:Q16,3)</f>
        <v>51883.01</v>
      </c>
    </row>
    <row r="38" spans="1:6" ht="15" x14ac:dyDescent="0.25">
      <c r="A38" s="26" t="s">
        <v>37</v>
      </c>
      <c r="B38" s="14" t="s">
        <v>43</v>
      </c>
      <c r="E38" s="27">
        <f>+E36+E37</f>
        <v>36106.081824000001</v>
      </c>
      <c r="F38" s="27">
        <f>+F36+F37</f>
        <v>59712.345247999998</v>
      </c>
    </row>
    <row r="39" spans="1:6" x14ac:dyDescent="0.2">
      <c r="A39" s="20" t="s">
        <v>36</v>
      </c>
      <c r="B39" s="12" t="s">
        <v>385</v>
      </c>
      <c r="E39" s="22">
        <v>0</v>
      </c>
      <c r="F39" s="22">
        <f>+E23</f>
        <v>107145</v>
      </c>
    </row>
    <row r="40" spans="1:6" ht="15" x14ac:dyDescent="0.25">
      <c r="A40" s="26" t="s">
        <v>37</v>
      </c>
      <c r="B40" s="14" t="s">
        <v>145</v>
      </c>
      <c r="E40" s="15">
        <f>+E38-E39</f>
        <v>36106.081824000001</v>
      </c>
      <c r="F40" s="180">
        <f>+F38-F39</f>
        <v>-47432.654752000002</v>
      </c>
    </row>
    <row r="42" spans="1:6" x14ac:dyDescent="0.2">
      <c r="B42" s="1" t="s">
        <v>386</v>
      </c>
      <c r="E42" s="1">
        <f>+E30*0.1</f>
        <v>25000</v>
      </c>
      <c r="F42" s="1">
        <f>+F30*0.1</f>
        <v>25000.5</v>
      </c>
    </row>
    <row r="44" spans="1:6" ht="15" x14ac:dyDescent="0.25">
      <c r="B44" s="15" t="s">
        <v>387</v>
      </c>
      <c r="C44" s="15"/>
      <c r="D44" s="15"/>
      <c r="E44" s="179">
        <f>+E40+E42</f>
        <v>61106.081824000001</v>
      </c>
      <c r="F44" s="180">
        <f>+F40+F42</f>
        <v>-22432.154752000002</v>
      </c>
    </row>
  </sheetData>
  <mergeCells count="2">
    <mergeCell ref="B18:D18"/>
    <mergeCell ref="B29:D29"/>
  </mergeCells>
  <pageMargins left="0.7" right="0.7" top="0.75" bottom="0.75" header="0.3" footer="0.3"/>
  <pageSetup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C260B1-3B7B-41BD-85F1-E29B34BEE9FD}">
  <sheetPr>
    <tabColor rgb="FF002060"/>
  </sheetPr>
  <dimension ref="A1:W87"/>
  <sheetViews>
    <sheetView zoomScale="90" zoomScaleNormal="90" workbookViewId="0">
      <selection activeCell="A36" sqref="A36"/>
    </sheetView>
  </sheetViews>
  <sheetFormatPr baseColWidth="10" defaultRowHeight="14.25" x14ac:dyDescent="0.2"/>
  <cols>
    <col min="1" max="16384" width="11" style="3"/>
  </cols>
  <sheetData>
    <row r="1" spans="1:17" ht="15" x14ac:dyDescent="0.25">
      <c r="A1" s="2"/>
      <c r="B1" s="189" t="s">
        <v>355</v>
      </c>
      <c r="C1" s="189"/>
      <c r="D1" s="189"/>
      <c r="E1" s="189"/>
      <c r="H1" s="189" t="s">
        <v>0</v>
      </c>
      <c r="I1" s="189"/>
      <c r="J1" s="189"/>
      <c r="K1" s="189"/>
      <c r="N1" s="189" t="s">
        <v>353</v>
      </c>
      <c r="O1" s="189"/>
      <c r="P1" s="189"/>
      <c r="Q1" s="189"/>
    </row>
    <row r="2" spans="1:17" ht="15.75" thickBot="1" x14ac:dyDescent="0.3">
      <c r="B2" s="187">
        <v>2021</v>
      </c>
      <c r="C2" s="187"/>
      <c r="D2" s="187"/>
      <c r="E2" s="187"/>
    </row>
    <row r="3" spans="1:17" ht="48" customHeight="1" thickTop="1" x14ac:dyDescent="0.2">
      <c r="B3" s="4" t="s">
        <v>1</v>
      </c>
      <c r="C3" s="4" t="s">
        <v>2</v>
      </c>
      <c r="D3" s="4" t="s">
        <v>3</v>
      </c>
      <c r="E3" s="4" t="s">
        <v>354</v>
      </c>
      <c r="H3" s="4" t="s">
        <v>1</v>
      </c>
      <c r="I3" s="4" t="s">
        <v>2</v>
      </c>
      <c r="J3" s="4" t="s">
        <v>3</v>
      </c>
      <c r="K3" s="4" t="s">
        <v>4</v>
      </c>
      <c r="N3" s="4" t="s">
        <v>1</v>
      </c>
      <c r="O3" s="4" t="s">
        <v>2</v>
      </c>
      <c r="P3" s="4" t="s">
        <v>3</v>
      </c>
      <c r="Q3" s="4" t="s">
        <v>354</v>
      </c>
    </row>
    <row r="4" spans="1:17" ht="33.75" x14ac:dyDescent="0.2">
      <c r="B4" s="5"/>
      <c r="C4" s="5"/>
      <c r="D4" s="5"/>
      <c r="E4" s="5" t="s">
        <v>5</v>
      </c>
      <c r="H4" s="5"/>
      <c r="I4" s="5"/>
      <c r="J4" s="5"/>
      <c r="K4" s="5" t="s">
        <v>5</v>
      </c>
      <c r="N4" s="5"/>
      <c r="O4" s="5"/>
      <c r="P4" s="5"/>
      <c r="Q4" s="5" t="s">
        <v>5</v>
      </c>
    </row>
    <row r="5" spans="1:17" ht="15" thickBot="1" x14ac:dyDescent="0.25">
      <c r="B5" s="156" t="s">
        <v>6</v>
      </c>
      <c r="C5" s="156" t="s">
        <v>6</v>
      </c>
      <c r="D5" s="156" t="s">
        <v>6</v>
      </c>
      <c r="E5" s="156" t="s">
        <v>7</v>
      </c>
      <c r="H5" s="156" t="s">
        <v>6</v>
      </c>
      <c r="I5" s="156" t="s">
        <v>6</v>
      </c>
      <c r="J5" s="156" t="s">
        <v>6</v>
      </c>
      <c r="K5" s="156" t="s">
        <v>7</v>
      </c>
      <c r="N5" s="156" t="s">
        <v>6</v>
      </c>
      <c r="O5" s="156" t="s">
        <v>6</v>
      </c>
      <c r="P5" s="156" t="s">
        <v>6</v>
      </c>
      <c r="Q5" s="156" t="s">
        <v>7</v>
      </c>
    </row>
    <row r="6" spans="1:17" ht="15" thickTop="1" x14ac:dyDescent="0.2">
      <c r="B6" s="6">
        <v>0.01</v>
      </c>
      <c r="C6" s="6">
        <v>644.58000000000004</v>
      </c>
      <c r="D6" s="6">
        <v>0</v>
      </c>
      <c r="E6" s="6">
        <v>1.92</v>
      </c>
      <c r="H6" s="6">
        <v>0.01</v>
      </c>
      <c r="I6" s="6">
        <v>6942.2</v>
      </c>
      <c r="J6" s="6">
        <v>0</v>
      </c>
      <c r="K6" s="6">
        <v>1.92</v>
      </c>
      <c r="N6" s="6">
        <v>0.01</v>
      </c>
      <c r="O6" s="6">
        <v>7735</v>
      </c>
      <c r="P6" s="6">
        <v>0</v>
      </c>
      <c r="Q6" s="6">
        <v>1.92</v>
      </c>
    </row>
    <row r="7" spans="1:17" x14ac:dyDescent="0.2">
      <c r="B7" s="7">
        <v>644.59</v>
      </c>
      <c r="C7" s="7">
        <v>5470.92</v>
      </c>
      <c r="D7" s="6">
        <v>12.38</v>
      </c>
      <c r="E7" s="6">
        <v>6.4</v>
      </c>
      <c r="H7" s="7">
        <v>6942.21</v>
      </c>
      <c r="I7" s="7">
        <v>58922.16</v>
      </c>
      <c r="J7" s="6">
        <v>133.28</v>
      </c>
      <c r="K7" s="6">
        <v>6.4</v>
      </c>
      <c r="N7" s="7">
        <v>7735.01</v>
      </c>
      <c r="O7" s="7">
        <v>65651.070000000007</v>
      </c>
      <c r="P7" s="6">
        <v>148.51</v>
      </c>
      <c r="Q7" s="6">
        <v>6.4</v>
      </c>
    </row>
    <row r="8" spans="1:17" x14ac:dyDescent="0.2">
      <c r="B8" s="7">
        <v>5470.93</v>
      </c>
      <c r="C8" s="7">
        <v>9614.66</v>
      </c>
      <c r="D8" s="6">
        <v>321.26</v>
      </c>
      <c r="E8" s="6">
        <v>10.88</v>
      </c>
      <c r="H8" s="7">
        <v>58922.17</v>
      </c>
      <c r="I8" s="7">
        <v>103550.44</v>
      </c>
      <c r="J8" s="6">
        <v>3460.01</v>
      </c>
      <c r="K8" s="6">
        <v>10.88</v>
      </c>
      <c r="N8" s="7">
        <v>65651.08</v>
      </c>
      <c r="O8" s="7">
        <v>115375.9</v>
      </c>
      <c r="P8" s="6">
        <v>3855.14</v>
      </c>
      <c r="Q8" s="6">
        <v>10.88</v>
      </c>
    </row>
    <row r="9" spans="1:17" x14ac:dyDescent="0.2">
      <c r="B9" s="7">
        <v>9614.67</v>
      </c>
      <c r="C9" s="7">
        <v>11176.62</v>
      </c>
      <c r="D9" s="6">
        <v>772.1</v>
      </c>
      <c r="E9" s="6">
        <v>16</v>
      </c>
      <c r="H9" s="7">
        <v>103550.45</v>
      </c>
      <c r="I9" s="7">
        <v>120372.83</v>
      </c>
      <c r="J9" s="6">
        <v>8315.57</v>
      </c>
      <c r="K9" s="6">
        <v>16</v>
      </c>
      <c r="N9" s="7">
        <v>115375.91</v>
      </c>
      <c r="O9" s="7">
        <v>134119.41</v>
      </c>
      <c r="P9" s="6">
        <v>9265.2000000000007</v>
      </c>
      <c r="Q9" s="6">
        <v>16</v>
      </c>
    </row>
    <row r="10" spans="1:17" x14ac:dyDescent="0.2">
      <c r="B10" s="7">
        <v>11176.63</v>
      </c>
      <c r="C10" s="7">
        <v>13381.47</v>
      </c>
      <c r="D10" s="7">
        <v>1022.01</v>
      </c>
      <c r="E10" s="6">
        <v>17.920000000000002</v>
      </c>
      <c r="H10" s="7">
        <v>120372.84</v>
      </c>
      <c r="I10" s="7">
        <v>144119.23000000001</v>
      </c>
      <c r="J10" s="6">
        <v>11007.14</v>
      </c>
      <c r="K10" s="6">
        <v>17.920000000000002</v>
      </c>
      <c r="N10" s="7">
        <v>134119.42000000001</v>
      </c>
      <c r="O10" s="7">
        <v>160577.65</v>
      </c>
      <c r="P10" s="6">
        <v>12264.16</v>
      </c>
      <c r="Q10" s="6">
        <v>17.920000000000002</v>
      </c>
    </row>
    <row r="11" spans="1:17" x14ac:dyDescent="0.2">
      <c r="B11" s="7">
        <v>13381.48</v>
      </c>
      <c r="C11" s="7">
        <v>26988.5</v>
      </c>
      <c r="D11" s="7">
        <v>1417.12</v>
      </c>
      <c r="E11" s="6">
        <v>21.36</v>
      </c>
      <c r="H11" s="7">
        <v>144119.24</v>
      </c>
      <c r="I11" s="7">
        <v>290667.75</v>
      </c>
      <c r="J11" s="7">
        <v>15262.49</v>
      </c>
      <c r="K11" s="6">
        <v>21.36</v>
      </c>
      <c r="N11" s="7">
        <v>160577.66</v>
      </c>
      <c r="O11" s="7">
        <v>323862</v>
      </c>
      <c r="P11" s="7">
        <v>17005.47</v>
      </c>
      <c r="Q11" s="6">
        <v>21.36</v>
      </c>
    </row>
    <row r="12" spans="1:17" x14ac:dyDescent="0.2">
      <c r="B12" s="7">
        <v>26988.51</v>
      </c>
      <c r="C12" s="7">
        <v>42537.58</v>
      </c>
      <c r="D12" s="7">
        <v>4323.58</v>
      </c>
      <c r="E12" s="6">
        <v>23.52</v>
      </c>
      <c r="H12" s="7">
        <v>290667.76</v>
      </c>
      <c r="I12" s="7">
        <v>458132.29</v>
      </c>
      <c r="J12" s="7">
        <v>46565.26</v>
      </c>
      <c r="K12" s="6">
        <v>23.52</v>
      </c>
      <c r="N12" s="7">
        <v>323862.01</v>
      </c>
      <c r="O12" s="7">
        <v>510451</v>
      </c>
      <c r="P12" s="7">
        <v>51883.01</v>
      </c>
      <c r="Q12" s="6">
        <v>23.52</v>
      </c>
    </row>
    <row r="13" spans="1:17" x14ac:dyDescent="0.2">
      <c r="B13" s="7">
        <v>42537.59</v>
      </c>
      <c r="C13" s="7">
        <v>81211.25</v>
      </c>
      <c r="D13" s="7">
        <v>7980.73</v>
      </c>
      <c r="E13" s="6">
        <v>30</v>
      </c>
      <c r="H13" s="7">
        <v>458132.3</v>
      </c>
      <c r="I13" s="7">
        <v>874650</v>
      </c>
      <c r="J13" s="7">
        <v>85952.92</v>
      </c>
      <c r="K13" s="6">
        <v>30</v>
      </c>
      <c r="N13" s="7">
        <v>510451.01</v>
      </c>
      <c r="O13" s="7">
        <v>974535.03</v>
      </c>
      <c r="P13" s="7">
        <v>95768.74</v>
      </c>
      <c r="Q13" s="6">
        <v>30</v>
      </c>
    </row>
    <row r="14" spans="1:17" x14ac:dyDescent="0.2">
      <c r="B14" s="7">
        <v>81211.259999999995</v>
      </c>
      <c r="C14" s="7">
        <v>108281.67</v>
      </c>
      <c r="D14" s="7">
        <v>19582.830000000002</v>
      </c>
      <c r="E14" s="6">
        <v>32</v>
      </c>
      <c r="H14" s="7">
        <v>874650.01</v>
      </c>
      <c r="I14" s="7">
        <v>1166200</v>
      </c>
      <c r="J14" s="7">
        <v>210908.23</v>
      </c>
      <c r="K14" s="6">
        <v>32</v>
      </c>
      <c r="N14" s="7">
        <v>974535.04</v>
      </c>
      <c r="O14" s="7">
        <v>1299380.04</v>
      </c>
      <c r="P14" s="7">
        <v>234993.95</v>
      </c>
      <c r="Q14" s="6">
        <v>32</v>
      </c>
    </row>
    <row r="15" spans="1:17" x14ac:dyDescent="0.2">
      <c r="B15" s="7">
        <v>108281.68</v>
      </c>
      <c r="C15" s="7">
        <v>324845.01</v>
      </c>
      <c r="D15" s="7">
        <v>28245.360000000001</v>
      </c>
      <c r="E15" s="6">
        <v>34</v>
      </c>
      <c r="H15" s="7">
        <v>1166200.01</v>
      </c>
      <c r="I15" s="7">
        <v>3498600</v>
      </c>
      <c r="J15" s="7">
        <v>304204.21000000002</v>
      </c>
      <c r="K15" s="6">
        <v>34</v>
      </c>
      <c r="N15" s="7">
        <v>1299380.05</v>
      </c>
      <c r="O15" s="7">
        <v>3898140.12</v>
      </c>
      <c r="P15" s="7">
        <v>338944.34</v>
      </c>
      <c r="Q15" s="6">
        <v>34</v>
      </c>
    </row>
    <row r="16" spans="1:17" ht="15" thickBot="1" x14ac:dyDescent="0.25">
      <c r="B16" s="8">
        <v>324845.02</v>
      </c>
      <c r="C16" s="9" t="s">
        <v>8</v>
      </c>
      <c r="D16" s="8">
        <v>101876.9</v>
      </c>
      <c r="E16" s="9">
        <v>35</v>
      </c>
      <c r="H16" s="8">
        <v>3498600.01</v>
      </c>
      <c r="I16" s="9" t="s">
        <v>8</v>
      </c>
      <c r="J16" s="8">
        <v>1097220.21</v>
      </c>
      <c r="K16" s="9">
        <v>35</v>
      </c>
      <c r="N16" s="8">
        <v>3898140.13</v>
      </c>
      <c r="O16" s="9" t="s">
        <v>8</v>
      </c>
      <c r="P16" s="8">
        <v>1222522.76</v>
      </c>
      <c r="Q16" s="9">
        <v>35</v>
      </c>
    </row>
    <row r="17" spans="2:4" ht="15" thickTop="1" x14ac:dyDescent="0.2"/>
    <row r="19" spans="2:4" ht="15" thickBot="1" x14ac:dyDescent="0.25"/>
    <row r="20" spans="2:4" ht="22.5" customHeight="1" thickTop="1" x14ac:dyDescent="0.2">
      <c r="B20" s="188"/>
      <c r="C20" s="188"/>
      <c r="D20" s="188"/>
    </row>
    <row r="21" spans="2:4" ht="63" customHeight="1" x14ac:dyDescent="0.2">
      <c r="B21" s="5" t="s">
        <v>9</v>
      </c>
      <c r="C21" s="5" t="s">
        <v>10</v>
      </c>
      <c r="D21" s="5" t="s">
        <v>11</v>
      </c>
    </row>
    <row r="22" spans="2:4" x14ac:dyDescent="0.2">
      <c r="B22" s="157" t="s">
        <v>6</v>
      </c>
      <c r="C22" s="157" t="s">
        <v>6</v>
      </c>
      <c r="D22" s="157" t="s">
        <v>6</v>
      </c>
    </row>
    <row r="23" spans="2:4" x14ac:dyDescent="0.2">
      <c r="B23" s="6">
        <v>0.01</v>
      </c>
      <c r="C23" s="7">
        <v>1768.96</v>
      </c>
      <c r="D23" s="6">
        <v>407.02</v>
      </c>
    </row>
    <row r="24" spans="2:4" x14ac:dyDescent="0.2">
      <c r="B24" s="7">
        <v>1768.97</v>
      </c>
      <c r="C24" s="7">
        <v>2653.38</v>
      </c>
      <c r="D24" s="6">
        <v>406.83</v>
      </c>
    </row>
    <row r="25" spans="2:4" x14ac:dyDescent="0.2">
      <c r="B25" s="7">
        <v>2653.39</v>
      </c>
      <c r="C25" s="7">
        <v>3472.84</v>
      </c>
      <c r="D25" s="6">
        <v>406.62</v>
      </c>
    </row>
    <row r="26" spans="2:4" x14ac:dyDescent="0.2">
      <c r="B26" s="7">
        <v>3472.85</v>
      </c>
      <c r="C26" s="7">
        <v>3537.87</v>
      </c>
      <c r="D26" s="6">
        <v>392.77</v>
      </c>
    </row>
    <row r="27" spans="2:4" x14ac:dyDescent="0.2">
      <c r="B27" s="7">
        <v>3537.88</v>
      </c>
      <c r="C27" s="7">
        <v>4446.1499999999996</v>
      </c>
      <c r="D27" s="6">
        <v>382.46</v>
      </c>
    </row>
    <row r="28" spans="2:4" x14ac:dyDescent="0.2">
      <c r="B28" s="7">
        <v>4446.16</v>
      </c>
      <c r="C28" s="7">
        <v>4717.18</v>
      </c>
      <c r="D28" s="6">
        <v>354.23</v>
      </c>
    </row>
    <row r="29" spans="2:4" x14ac:dyDescent="0.2">
      <c r="B29" s="7">
        <v>4717.1899999999996</v>
      </c>
      <c r="C29" s="7">
        <v>5335.42</v>
      </c>
      <c r="D29" s="6">
        <v>324.87</v>
      </c>
    </row>
    <row r="30" spans="2:4" x14ac:dyDescent="0.2">
      <c r="B30" s="7">
        <v>5335.43</v>
      </c>
      <c r="C30" s="7">
        <v>6224.67</v>
      </c>
      <c r="D30" s="6">
        <v>294.63</v>
      </c>
    </row>
    <row r="31" spans="2:4" x14ac:dyDescent="0.2">
      <c r="B31" s="7">
        <v>6224.68</v>
      </c>
      <c r="C31" s="7">
        <v>7113.9</v>
      </c>
      <c r="D31" s="6">
        <v>253.54</v>
      </c>
    </row>
    <row r="32" spans="2:4" x14ac:dyDescent="0.2">
      <c r="B32" s="7">
        <v>7113.91</v>
      </c>
      <c r="C32" s="7">
        <v>7382.33</v>
      </c>
      <c r="D32" s="6">
        <v>217.61</v>
      </c>
    </row>
    <row r="33" spans="1:23" ht="15" thickBot="1" x14ac:dyDescent="0.25">
      <c r="B33" s="8">
        <v>7382.34</v>
      </c>
      <c r="C33" s="9" t="s">
        <v>8</v>
      </c>
      <c r="D33" s="9">
        <v>0</v>
      </c>
    </row>
    <row r="34" spans="1:23" ht="15" thickTop="1" x14ac:dyDescent="0.2"/>
    <row r="36" spans="1:23" ht="18" x14ac:dyDescent="0.25">
      <c r="A36" s="2"/>
      <c r="B36" s="158" t="s">
        <v>356</v>
      </c>
    </row>
    <row r="38" spans="1:23" ht="15.75" thickBot="1" x14ac:dyDescent="0.3">
      <c r="C38" s="187" t="s">
        <v>12</v>
      </c>
      <c r="D38" s="187"/>
      <c r="I38" s="187" t="s">
        <v>13</v>
      </c>
      <c r="J38" s="187"/>
      <c r="O38" s="187" t="s">
        <v>14</v>
      </c>
      <c r="P38" s="187"/>
      <c r="U38" s="187" t="s">
        <v>15</v>
      </c>
      <c r="V38" s="187"/>
    </row>
    <row r="39" spans="1:23" ht="34.5" thickTop="1" x14ac:dyDescent="0.2">
      <c r="B39" s="10" t="s">
        <v>1</v>
      </c>
      <c r="C39" s="4" t="s">
        <v>2</v>
      </c>
      <c r="D39" s="4" t="s">
        <v>3</v>
      </c>
      <c r="E39" s="4" t="s">
        <v>354</v>
      </c>
      <c r="H39" s="10" t="s">
        <v>1</v>
      </c>
      <c r="I39" s="4" t="s">
        <v>2</v>
      </c>
      <c r="J39" s="4" t="s">
        <v>3</v>
      </c>
      <c r="K39" s="4" t="s">
        <v>354</v>
      </c>
      <c r="N39" s="10" t="s">
        <v>1</v>
      </c>
      <c r="O39" s="4" t="s">
        <v>2</v>
      </c>
      <c r="P39" s="4" t="s">
        <v>3</v>
      </c>
      <c r="Q39" s="4" t="s">
        <v>354</v>
      </c>
      <c r="T39" s="10" t="s">
        <v>1</v>
      </c>
      <c r="U39" s="4" t="s">
        <v>2</v>
      </c>
      <c r="V39" s="4" t="s">
        <v>3</v>
      </c>
      <c r="W39" s="4" t="s">
        <v>354</v>
      </c>
    </row>
    <row r="40" spans="1:23" ht="33.75" x14ac:dyDescent="0.2">
      <c r="B40" s="5"/>
      <c r="C40" s="5"/>
      <c r="D40" s="5"/>
      <c r="E40" s="5" t="s">
        <v>5</v>
      </c>
      <c r="H40" s="5"/>
      <c r="I40" s="5"/>
      <c r="J40" s="5"/>
      <c r="K40" s="5" t="s">
        <v>5</v>
      </c>
      <c r="N40" s="5"/>
      <c r="O40" s="5"/>
      <c r="P40" s="5"/>
      <c r="Q40" s="5" t="s">
        <v>5</v>
      </c>
      <c r="T40" s="5"/>
      <c r="U40" s="5"/>
      <c r="V40" s="5"/>
      <c r="W40" s="5" t="s">
        <v>5</v>
      </c>
    </row>
    <row r="41" spans="1:23" ht="15" thickBot="1" x14ac:dyDescent="0.25">
      <c r="B41" s="156" t="s">
        <v>6</v>
      </c>
      <c r="C41" s="156" t="s">
        <v>6</v>
      </c>
      <c r="D41" s="156" t="s">
        <v>6</v>
      </c>
      <c r="E41" s="156" t="s">
        <v>7</v>
      </c>
      <c r="H41" s="156" t="s">
        <v>6</v>
      </c>
      <c r="I41" s="156" t="s">
        <v>6</v>
      </c>
      <c r="J41" s="156" t="s">
        <v>6</v>
      </c>
      <c r="K41" s="156" t="s">
        <v>7</v>
      </c>
      <c r="N41" s="156" t="s">
        <v>6</v>
      </c>
      <c r="O41" s="156" t="s">
        <v>6</v>
      </c>
      <c r="P41" s="156" t="s">
        <v>6</v>
      </c>
      <c r="Q41" s="156" t="s">
        <v>7</v>
      </c>
      <c r="T41" s="156" t="s">
        <v>6</v>
      </c>
      <c r="U41" s="156" t="s">
        <v>6</v>
      </c>
      <c r="V41" s="156" t="s">
        <v>6</v>
      </c>
      <c r="W41" s="156" t="s">
        <v>7</v>
      </c>
    </row>
    <row r="42" spans="1:23" ht="15" thickTop="1" x14ac:dyDescent="0.2">
      <c r="B42" s="6">
        <v>0.01</v>
      </c>
      <c r="C42" s="6">
        <v>644.58000000000004</v>
      </c>
      <c r="D42" s="6">
        <v>0</v>
      </c>
      <c r="E42" s="6">
        <v>1.92</v>
      </c>
      <c r="H42" s="6">
        <v>0.01</v>
      </c>
      <c r="I42" s="7">
        <v>2578.3200000000002</v>
      </c>
      <c r="J42" s="6">
        <v>0</v>
      </c>
      <c r="K42" s="6">
        <v>1.92</v>
      </c>
      <c r="N42" s="6">
        <v>0.01</v>
      </c>
      <c r="O42" s="7">
        <v>4512.0600000000004</v>
      </c>
      <c r="P42" s="6">
        <v>0</v>
      </c>
      <c r="Q42" s="6">
        <v>1.92</v>
      </c>
      <c r="T42" s="6">
        <v>0.01</v>
      </c>
      <c r="U42" s="7">
        <v>6445.8</v>
      </c>
      <c r="V42" s="6">
        <v>0</v>
      </c>
      <c r="W42" s="6">
        <v>1.92</v>
      </c>
    </row>
    <row r="43" spans="1:23" x14ac:dyDescent="0.2">
      <c r="B43" s="7">
        <v>644.59</v>
      </c>
      <c r="C43" s="7">
        <v>5470.92</v>
      </c>
      <c r="D43" s="6">
        <v>12.38</v>
      </c>
      <c r="E43" s="6">
        <v>6.4</v>
      </c>
      <c r="H43" s="7">
        <v>2578.33</v>
      </c>
      <c r="I43" s="7">
        <v>21883.68</v>
      </c>
      <c r="J43" s="6">
        <v>49.52</v>
      </c>
      <c r="K43" s="6">
        <v>6.4</v>
      </c>
      <c r="N43" s="7">
        <v>4512.07</v>
      </c>
      <c r="O43" s="7">
        <v>38296.44</v>
      </c>
      <c r="P43" s="6">
        <v>86.66</v>
      </c>
      <c r="Q43" s="6">
        <v>6.4</v>
      </c>
      <c r="T43" s="7">
        <v>6445.81</v>
      </c>
      <c r="U43" s="7">
        <v>54709.2</v>
      </c>
      <c r="V43" s="6">
        <v>123.8</v>
      </c>
      <c r="W43" s="6">
        <v>6.4</v>
      </c>
    </row>
    <row r="44" spans="1:23" x14ac:dyDescent="0.2">
      <c r="B44" s="7">
        <v>5470.93</v>
      </c>
      <c r="C44" s="7">
        <v>9614.66</v>
      </c>
      <c r="D44" s="6">
        <v>321.26</v>
      </c>
      <c r="E44" s="6">
        <v>10.88</v>
      </c>
      <c r="H44" s="7">
        <v>21883.69</v>
      </c>
      <c r="I44" s="7">
        <v>38458.639999999999</v>
      </c>
      <c r="J44" s="7">
        <v>1285.04</v>
      </c>
      <c r="K44" s="6">
        <v>10.88</v>
      </c>
      <c r="N44" s="7">
        <v>38296.449999999997</v>
      </c>
      <c r="O44" s="7">
        <v>67302.62</v>
      </c>
      <c r="P44" s="7">
        <v>2248.8200000000002</v>
      </c>
      <c r="Q44" s="6">
        <v>10.88</v>
      </c>
      <c r="T44" s="7">
        <v>54709.21</v>
      </c>
      <c r="U44" s="7">
        <v>96146.6</v>
      </c>
      <c r="V44" s="7">
        <v>3212.6</v>
      </c>
      <c r="W44" s="6">
        <v>10.88</v>
      </c>
    </row>
    <row r="45" spans="1:23" x14ac:dyDescent="0.2">
      <c r="B45" s="159">
        <v>9614.67</v>
      </c>
      <c r="C45" s="159">
        <v>11176.62</v>
      </c>
      <c r="D45" s="160">
        <v>772.1</v>
      </c>
      <c r="E45" s="160">
        <v>16</v>
      </c>
      <c r="H45" s="7">
        <v>38458.65</v>
      </c>
      <c r="I45" s="7">
        <v>44706.48</v>
      </c>
      <c r="J45" s="7">
        <v>3088.4</v>
      </c>
      <c r="K45" s="6">
        <v>16</v>
      </c>
      <c r="N45" s="7">
        <v>67302.63</v>
      </c>
      <c r="O45" s="7">
        <v>78236.34</v>
      </c>
      <c r="P45" s="7">
        <v>5404.7</v>
      </c>
      <c r="Q45" s="6">
        <v>16</v>
      </c>
      <c r="T45" s="7">
        <v>96146.61</v>
      </c>
      <c r="U45" s="7">
        <v>111766.2</v>
      </c>
      <c r="V45" s="7">
        <v>7721</v>
      </c>
      <c r="W45" s="6">
        <v>16</v>
      </c>
    </row>
    <row r="46" spans="1:23" x14ac:dyDescent="0.2">
      <c r="B46" s="7">
        <v>11176.63</v>
      </c>
      <c r="C46" s="7">
        <v>13381.47</v>
      </c>
      <c r="D46" s="7">
        <v>1022.01</v>
      </c>
      <c r="E46" s="6">
        <v>17.920000000000002</v>
      </c>
      <c r="H46" s="7">
        <v>44706.49</v>
      </c>
      <c r="I46" s="7">
        <v>53525.88</v>
      </c>
      <c r="J46" s="7">
        <v>4088.04</v>
      </c>
      <c r="K46" s="6">
        <v>17.920000000000002</v>
      </c>
      <c r="N46" s="7">
        <v>78236.350000000006</v>
      </c>
      <c r="O46" s="7">
        <v>93670.29</v>
      </c>
      <c r="P46" s="7">
        <v>7154.07</v>
      </c>
      <c r="Q46" s="6">
        <v>17.920000000000002</v>
      </c>
      <c r="T46" s="7">
        <v>111766.21</v>
      </c>
      <c r="U46" s="7">
        <v>133814.70000000001</v>
      </c>
      <c r="V46" s="7">
        <v>10220.1</v>
      </c>
      <c r="W46" s="6">
        <v>17.920000000000002</v>
      </c>
    </row>
    <row r="47" spans="1:23" x14ac:dyDescent="0.2">
      <c r="B47" s="7">
        <v>13381.48</v>
      </c>
      <c r="C47" s="7">
        <v>26988.5</v>
      </c>
      <c r="D47" s="7">
        <v>1417.12</v>
      </c>
      <c r="E47" s="6">
        <v>21.36</v>
      </c>
      <c r="H47" s="7">
        <v>53525.89</v>
      </c>
      <c r="I47" s="7">
        <v>107954</v>
      </c>
      <c r="J47" s="7">
        <v>5668.48</v>
      </c>
      <c r="K47" s="6">
        <v>21.36</v>
      </c>
      <c r="N47" s="7">
        <v>93670.3</v>
      </c>
      <c r="O47" s="7">
        <v>188919.5</v>
      </c>
      <c r="P47" s="7">
        <v>9919.84</v>
      </c>
      <c r="Q47" s="6">
        <v>21.36</v>
      </c>
      <c r="T47" s="7">
        <v>133814.71</v>
      </c>
      <c r="U47" s="7">
        <v>269885</v>
      </c>
      <c r="V47" s="7">
        <v>14171.2</v>
      </c>
      <c r="W47" s="6">
        <v>21.36</v>
      </c>
    </row>
    <row r="48" spans="1:23" x14ac:dyDescent="0.2">
      <c r="B48" s="7">
        <v>26988.51</v>
      </c>
      <c r="C48" s="7">
        <v>42537.58</v>
      </c>
      <c r="D48" s="7">
        <v>4323.58</v>
      </c>
      <c r="E48" s="6">
        <v>23.52</v>
      </c>
      <c r="H48" s="7">
        <v>107954.01</v>
      </c>
      <c r="I48" s="7">
        <v>170150.32</v>
      </c>
      <c r="J48" s="7">
        <v>17294.32</v>
      </c>
      <c r="K48" s="6">
        <v>23.52</v>
      </c>
      <c r="N48" s="7">
        <v>188919.51</v>
      </c>
      <c r="O48" s="7">
        <v>297763.06</v>
      </c>
      <c r="P48" s="7">
        <v>30265.06</v>
      </c>
      <c r="Q48" s="6">
        <v>23.52</v>
      </c>
      <c r="T48" s="7">
        <v>269885.01</v>
      </c>
      <c r="U48" s="7">
        <v>425375.8</v>
      </c>
      <c r="V48" s="7">
        <v>43235.8</v>
      </c>
      <c r="W48" s="6">
        <v>23.52</v>
      </c>
    </row>
    <row r="49" spans="2:23" x14ac:dyDescent="0.2">
      <c r="B49" s="7">
        <v>42537.59</v>
      </c>
      <c r="C49" s="7">
        <v>81211.25</v>
      </c>
      <c r="D49" s="7">
        <v>7980.73</v>
      </c>
      <c r="E49" s="6">
        <v>30</v>
      </c>
      <c r="H49" s="7">
        <v>170150.33</v>
      </c>
      <c r="I49" s="7">
        <v>324845</v>
      </c>
      <c r="J49" s="7">
        <v>31922.92</v>
      </c>
      <c r="K49" s="6">
        <v>30</v>
      </c>
      <c r="N49" s="7">
        <v>297763.07</v>
      </c>
      <c r="O49" s="7">
        <v>568478.75</v>
      </c>
      <c r="P49" s="7">
        <v>55865.11</v>
      </c>
      <c r="Q49" s="6">
        <v>30</v>
      </c>
      <c r="T49" s="7">
        <v>425375.81</v>
      </c>
      <c r="U49" s="7">
        <v>812112.5</v>
      </c>
      <c r="V49" s="7">
        <v>79807.3</v>
      </c>
      <c r="W49" s="6">
        <v>30</v>
      </c>
    </row>
    <row r="50" spans="2:23" x14ac:dyDescent="0.2">
      <c r="B50" s="7">
        <v>81211.259999999995</v>
      </c>
      <c r="C50" s="7">
        <v>108281.67</v>
      </c>
      <c r="D50" s="7">
        <v>19582.830000000002</v>
      </c>
      <c r="E50" s="6">
        <v>32</v>
      </c>
      <c r="H50" s="7">
        <v>324845.01</v>
      </c>
      <c r="I50" s="7">
        <v>433126.68</v>
      </c>
      <c r="J50" s="7">
        <v>78331.320000000007</v>
      </c>
      <c r="K50" s="6">
        <v>32</v>
      </c>
      <c r="N50" s="7">
        <v>568478.76</v>
      </c>
      <c r="O50" s="7">
        <v>757971.69</v>
      </c>
      <c r="P50" s="7">
        <v>137079.81</v>
      </c>
      <c r="Q50" s="6">
        <v>32</v>
      </c>
      <c r="T50" s="7">
        <v>812112.51</v>
      </c>
      <c r="U50" s="7">
        <v>1082816.7</v>
      </c>
      <c r="V50" s="7">
        <v>195828.3</v>
      </c>
      <c r="W50" s="6">
        <v>32</v>
      </c>
    </row>
    <row r="51" spans="2:23" x14ac:dyDescent="0.2">
      <c r="B51" s="7">
        <v>108281.68</v>
      </c>
      <c r="C51" s="7">
        <v>324845.01</v>
      </c>
      <c r="D51" s="7">
        <v>28245.360000000001</v>
      </c>
      <c r="E51" s="6">
        <v>34</v>
      </c>
      <c r="H51" s="7">
        <v>433126.69</v>
      </c>
      <c r="I51" s="7">
        <v>1299380.04</v>
      </c>
      <c r="J51" s="7">
        <v>112981.44</v>
      </c>
      <c r="K51" s="6">
        <v>34</v>
      </c>
      <c r="N51" s="7">
        <v>757971.7</v>
      </c>
      <c r="O51" s="7">
        <v>2273915.0699999998</v>
      </c>
      <c r="P51" s="7">
        <v>197717.52</v>
      </c>
      <c r="Q51" s="6">
        <v>34</v>
      </c>
      <c r="T51" s="7">
        <v>1082816.71</v>
      </c>
      <c r="U51" s="7">
        <v>3248450.1</v>
      </c>
      <c r="V51" s="7">
        <v>282453.59999999998</v>
      </c>
      <c r="W51" s="6">
        <v>34</v>
      </c>
    </row>
    <row r="52" spans="2:23" ht="15" thickBot="1" x14ac:dyDescent="0.25">
      <c r="B52" s="8">
        <v>324845.02</v>
      </c>
      <c r="C52" s="9" t="s">
        <v>8</v>
      </c>
      <c r="D52" s="8">
        <v>101876.9</v>
      </c>
      <c r="E52" s="9">
        <v>35</v>
      </c>
      <c r="H52" s="8">
        <v>1299380.05</v>
      </c>
      <c r="I52" s="9" t="s">
        <v>8</v>
      </c>
      <c r="J52" s="8">
        <v>407507.6</v>
      </c>
      <c r="K52" s="9">
        <v>35</v>
      </c>
      <c r="N52" s="8">
        <v>2273915.08</v>
      </c>
      <c r="O52" s="9" t="s">
        <v>8</v>
      </c>
      <c r="P52" s="8">
        <v>713138.3</v>
      </c>
      <c r="Q52" s="9">
        <v>35</v>
      </c>
      <c r="T52" s="8">
        <v>3248450.11</v>
      </c>
      <c r="U52" s="9" t="s">
        <v>8</v>
      </c>
      <c r="V52" s="8">
        <v>1018769</v>
      </c>
      <c r="W52" s="9">
        <v>35</v>
      </c>
    </row>
    <row r="53" spans="2:23" ht="15" thickTop="1" x14ac:dyDescent="0.2"/>
    <row r="55" spans="2:23" ht="15.75" thickBot="1" x14ac:dyDescent="0.3">
      <c r="C55" s="187" t="s">
        <v>16</v>
      </c>
      <c r="D55" s="187"/>
      <c r="I55" s="187" t="s">
        <v>17</v>
      </c>
      <c r="J55" s="187"/>
      <c r="O55" s="187" t="s">
        <v>18</v>
      </c>
      <c r="P55" s="187"/>
      <c r="U55" s="187" t="s">
        <v>19</v>
      </c>
      <c r="V55" s="187"/>
    </row>
    <row r="56" spans="2:23" ht="34.5" thickTop="1" x14ac:dyDescent="0.2">
      <c r="B56" s="10" t="s">
        <v>1</v>
      </c>
      <c r="C56" s="4" t="s">
        <v>2</v>
      </c>
      <c r="D56" s="4" t="s">
        <v>3</v>
      </c>
      <c r="E56" s="4" t="s">
        <v>354</v>
      </c>
      <c r="H56" s="10" t="s">
        <v>1</v>
      </c>
      <c r="I56" s="4" t="s">
        <v>2</v>
      </c>
      <c r="J56" s="4" t="s">
        <v>3</v>
      </c>
      <c r="K56" s="4" t="s">
        <v>354</v>
      </c>
      <c r="N56" s="10" t="s">
        <v>1</v>
      </c>
      <c r="O56" s="4" t="s">
        <v>2</v>
      </c>
      <c r="P56" s="4" t="s">
        <v>3</v>
      </c>
      <c r="Q56" s="4" t="s">
        <v>354</v>
      </c>
      <c r="T56" s="10" t="s">
        <v>1</v>
      </c>
      <c r="U56" s="4" t="s">
        <v>2</v>
      </c>
      <c r="V56" s="4" t="s">
        <v>3</v>
      </c>
      <c r="W56" s="4" t="s">
        <v>354</v>
      </c>
    </row>
    <row r="57" spans="2:23" ht="33.75" x14ac:dyDescent="0.2">
      <c r="B57" s="5"/>
      <c r="C57" s="5"/>
      <c r="D57" s="5"/>
      <c r="E57" s="5" t="s">
        <v>5</v>
      </c>
      <c r="H57" s="5"/>
      <c r="I57" s="5"/>
      <c r="J57" s="5"/>
      <c r="K57" s="5" t="s">
        <v>5</v>
      </c>
      <c r="N57" s="5"/>
      <c r="O57" s="5"/>
      <c r="P57" s="5"/>
      <c r="Q57" s="5" t="s">
        <v>5</v>
      </c>
      <c r="T57" s="5"/>
      <c r="U57" s="5"/>
      <c r="V57" s="5"/>
      <c r="W57" s="5" t="s">
        <v>5</v>
      </c>
    </row>
    <row r="58" spans="2:23" ht="15" thickBot="1" x14ac:dyDescent="0.25">
      <c r="B58" s="156" t="s">
        <v>6</v>
      </c>
      <c r="C58" s="156" t="s">
        <v>6</v>
      </c>
      <c r="D58" s="156" t="s">
        <v>6</v>
      </c>
      <c r="E58" s="156" t="s">
        <v>7</v>
      </c>
      <c r="H58" s="156" t="s">
        <v>6</v>
      </c>
      <c r="I58" s="156" t="s">
        <v>6</v>
      </c>
      <c r="J58" s="156" t="s">
        <v>6</v>
      </c>
      <c r="K58" s="156" t="s">
        <v>7</v>
      </c>
      <c r="N58" s="156" t="s">
        <v>6</v>
      </c>
      <c r="O58" s="156" t="s">
        <v>6</v>
      </c>
      <c r="P58" s="156" t="s">
        <v>6</v>
      </c>
      <c r="Q58" s="156" t="s">
        <v>7</v>
      </c>
      <c r="T58" s="156" t="s">
        <v>6</v>
      </c>
      <c r="U58" s="156" t="s">
        <v>6</v>
      </c>
      <c r="V58" s="156" t="s">
        <v>6</v>
      </c>
      <c r="W58" s="156" t="s">
        <v>7</v>
      </c>
    </row>
    <row r="59" spans="2:23" ht="15" thickTop="1" x14ac:dyDescent="0.2">
      <c r="B59" s="6">
        <v>0.01</v>
      </c>
      <c r="C59" s="7">
        <v>1289.1600000000001</v>
      </c>
      <c r="D59" s="6">
        <v>0</v>
      </c>
      <c r="E59" s="6">
        <v>1.92</v>
      </c>
      <c r="H59" s="6">
        <v>0.01</v>
      </c>
      <c r="I59" s="7">
        <v>3222.9</v>
      </c>
      <c r="J59" s="6">
        <v>0</v>
      </c>
      <c r="K59" s="6">
        <v>1.92</v>
      </c>
      <c r="N59" s="6">
        <v>0.01</v>
      </c>
      <c r="O59" s="7">
        <v>5156.6400000000003</v>
      </c>
      <c r="P59" s="6">
        <v>0</v>
      </c>
      <c r="Q59" s="6">
        <v>1.92</v>
      </c>
      <c r="T59" s="6">
        <v>0.01</v>
      </c>
      <c r="U59" s="7">
        <v>7090.38</v>
      </c>
      <c r="V59" s="6">
        <v>0</v>
      </c>
      <c r="W59" s="6">
        <v>1.92</v>
      </c>
    </row>
    <row r="60" spans="2:23" x14ac:dyDescent="0.2">
      <c r="B60" s="7">
        <v>1289.17</v>
      </c>
      <c r="C60" s="7">
        <v>10941.84</v>
      </c>
      <c r="D60" s="6">
        <v>24.76</v>
      </c>
      <c r="E60" s="6">
        <v>6.4</v>
      </c>
      <c r="H60" s="7">
        <v>3222.91</v>
      </c>
      <c r="I60" s="7">
        <v>27354.6</v>
      </c>
      <c r="J60" s="6">
        <v>61.9</v>
      </c>
      <c r="K60" s="6">
        <v>6.4</v>
      </c>
      <c r="N60" s="7">
        <v>5156.6499999999996</v>
      </c>
      <c r="O60" s="7">
        <v>43767.360000000001</v>
      </c>
      <c r="P60" s="6">
        <v>99.04</v>
      </c>
      <c r="Q60" s="6">
        <v>6.4</v>
      </c>
      <c r="T60" s="7">
        <v>7090.39</v>
      </c>
      <c r="U60" s="7">
        <v>60180.12</v>
      </c>
      <c r="V60" s="6">
        <v>136.18</v>
      </c>
      <c r="W60" s="6">
        <v>6.4</v>
      </c>
    </row>
    <row r="61" spans="2:23" x14ac:dyDescent="0.2">
      <c r="B61" s="7">
        <v>10941.85</v>
      </c>
      <c r="C61" s="7">
        <v>19229.32</v>
      </c>
      <c r="D61" s="6">
        <v>642.52</v>
      </c>
      <c r="E61" s="6">
        <v>10.88</v>
      </c>
      <c r="H61" s="7">
        <v>27354.61</v>
      </c>
      <c r="I61" s="7">
        <v>48073.3</v>
      </c>
      <c r="J61" s="7">
        <v>1606.3</v>
      </c>
      <c r="K61" s="6">
        <v>10.88</v>
      </c>
      <c r="N61" s="7">
        <v>43767.37</v>
      </c>
      <c r="O61" s="7">
        <v>76917.279999999999</v>
      </c>
      <c r="P61" s="7">
        <v>2570.08</v>
      </c>
      <c r="Q61" s="6">
        <v>10.88</v>
      </c>
      <c r="T61" s="7">
        <v>60180.13</v>
      </c>
      <c r="U61" s="7">
        <v>105761.26</v>
      </c>
      <c r="V61" s="7">
        <v>3533.86</v>
      </c>
      <c r="W61" s="6">
        <v>10.88</v>
      </c>
    </row>
    <row r="62" spans="2:23" x14ac:dyDescent="0.2">
      <c r="B62" s="7">
        <v>19229.330000000002</v>
      </c>
      <c r="C62" s="7">
        <v>22353.24</v>
      </c>
      <c r="D62" s="7">
        <v>1544.2</v>
      </c>
      <c r="E62" s="6">
        <v>16</v>
      </c>
      <c r="H62" s="7">
        <v>48073.31</v>
      </c>
      <c r="I62" s="7">
        <v>55883.1</v>
      </c>
      <c r="J62" s="7">
        <v>3860.5</v>
      </c>
      <c r="K62" s="6">
        <v>16</v>
      </c>
      <c r="N62" s="7">
        <v>76917.289999999994</v>
      </c>
      <c r="O62" s="7">
        <v>89412.96</v>
      </c>
      <c r="P62" s="7">
        <v>6176.8</v>
      </c>
      <c r="Q62" s="6">
        <v>16</v>
      </c>
      <c r="T62" s="7">
        <v>105761.27</v>
      </c>
      <c r="U62" s="7">
        <v>122942.82</v>
      </c>
      <c r="V62" s="7">
        <v>8493.1</v>
      </c>
      <c r="W62" s="6">
        <v>16</v>
      </c>
    </row>
    <row r="63" spans="2:23" x14ac:dyDescent="0.2">
      <c r="B63" s="7">
        <v>22353.25</v>
      </c>
      <c r="C63" s="7">
        <v>26762.94</v>
      </c>
      <c r="D63" s="7">
        <v>2044.02</v>
      </c>
      <c r="E63" s="6">
        <v>17.920000000000002</v>
      </c>
      <c r="H63" s="7">
        <v>55883.11</v>
      </c>
      <c r="I63" s="7">
        <v>66907.350000000006</v>
      </c>
      <c r="J63" s="7">
        <v>5110.05</v>
      </c>
      <c r="K63" s="6">
        <v>17.920000000000002</v>
      </c>
      <c r="N63" s="7">
        <v>89412.97</v>
      </c>
      <c r="O63" s="7">
        <v>107051.76</v>
      </c>
      <c r="P63" s="7">
        <v>8176.08</v>
      </c>
      <c r="Q63" s="6">
        <v>17.920000000000002</v>
      </c>
      <c r="T63" s="7">
        <v>122942.83</v>
      </c>
      <c r="U63" s="7">
        <v>147196.17000000001</v>
      </c>
      <c r="V63" s="7">
        <v>11242.11</v>
      </c>
      <c r="W63" s="6">
        <v>17.920000000000002</v>
      </c>
    </row>
    <row r="64" spans="2:23" x14ac:dyDescent="0.2">
      <c r="B64" s="7">
        <v>26762.95</v>
      </c>
      <c r="C64" s="7">
        <v>53977</v>
      </c>
      <c r="D64" s="7">
        <v>2834.24</v>
      </c>
      <c r="E64" s="6">
        <v>21.36</v>
      </c>
      <c r="H64" s="7">
        <v>66907.360000000001</v>
      </c>
      <c r="I64" s="7">
        <v>134942.5</v>
      </c>
      <c r="J64" s="7">
        <v>7085.6</v>
      </c>
      <c r="K64" s="6">
        <v>21.36</v>
      </c>
      <c r="N64" s="7">
        <v>107051.77</v>
      </c>
      <c r="O64" s="7">
        <v>215908</v>
      </c>
      <c r="P64" s="7">
        <v>11336.96</v>
      </c>
      <c r="Q64" s="6">
        <v>21.36</v>
      </c>
      <c r="T64" s="7">
        <v>147196.18</v>
      </c>
      <c r="U64" s="7">
        <v>296873.5</v>
      </c>
      <c r="V64" s="7">
        <v>15588.32</v>
      </c>
      <c r="W64" s="6">
        <v>21.36</v>
      </c>
    </row>
    <row r="65" spans="2:23" x14ac:dyDescent="0.2">
      <c r="B65" s="7">
        <v>53977.01</v>
      </c>
      <c r="C65" s="7">
        <v>85075.16</v>
      </c>
      <c r="D65" s="7">
        <v>8647.16</v>
      </c>
      <c r="E65" s="6">
        <v>23.52</v>
      </c>
      <c r="H65" s="7">
        <v>134942.51</v>
      </c>
      <c r="I65" s="7">
        <v>212687.9</v>
      </c>
      <c r="J65" s="7">
        <v>21617.9</v>
      </c>
      <c r="K65" s="6">
        <v>23.52</v>
      </c>
      <c r="N65" s="7">
        <v>215908.01</v>
      </c>
      <c r="O65" s="7">
        <v>340300.64</v>
      </c>
      <c r="P65" s="7">
        <v>34588.639999999999</v>
      </c>
      <c r="Q65" s="6">
        <v>23.52</v>
      </c>
      <c r="T65" s="7">
        <v>296873.51</v>
      </c>
      <c r="U65" s="7">
        <v>467913.38</v>
      </c>
      <c r="V65" s="7">
        <v>47559.38</v>
      </c>
      <c r="W65" s="6">
        <v>23.52</v>
      </c>
    </row>
    <row r="66" spans="2:23" x14ac:dyDescent="0.2">
      <c r="B66" s="7">
        <v>85075.17</v>
      </c>
      <c r="C66" s="7">
        <v>162422.5</v>
      </c>
      <c r="D66" s="7">
        <v>15961.46</v>
      </c>
      <c r="E66" s="6">
        <v>30</v>
      </c>
      <c r="H66" s="7">
        <v>212687.91</v>
      </c>
      <c r="I66" s="7">
        <v>406056.25</v>
      </c>
      <c r="J66" s="7">
        <v>39903.65</v>
      </c>
      <c r="K66" s="6">
        <v>30</v>
      </c>
      <c r="N66" s="7">
        <v>340300.65</v>
      </c>
      <c r="O66" s="7">
        <v>649690</v>
      </c>
      <c r="P66" s="7">
        <v>63845.84</v>
      </c>
      <c r="Q66" s="6">
        <v>30</v>
      </c>
      <c r="T66" s="7">
        <v>467913.39</v>
      </c>
      <c r="U66" s="7">
        <v>893323.75</v>
      </c>
      <c r="V66" s="7">
        <v>87788.03</v>
      </c>
      <c r="W66" s="6">
        <v>30</v>
      </c>
    </row>
    <row r="67" spans="2:23" x14ac:dyDescent="0.2">
      <c r="B67" s="7">
        <v>162422.51</v>
      </c>
      <c r="C67" s="7">
        <v>216563.34</v>
      </c>
      <c r="D67" s="7">
        <v>39165.660000000003</v>
      </c>
      <c r="E67" s="6">
        <v>32</v>
      </c>
      <c r="H67" s="7">
        <v>406056.26</v>
      </c>
      <c r="I67" s="7">
        <v>541408.35</v>
      </c>
      <c r="J67" s="7">
        <v>97914.15</v>
      </c>
      <c r="K67" s="6">
        <v>32</v>
      </c>
      <c r="N67" s="7">
        <v>649690.01</v>
      </c>
      <c r="O67" s="7">
        <v>866253.36</v>
      </c>
      <c r="P67" s="7">
        <v>156662.64000000001</v>
      </c>
      <c r="Q67" s="6">
        <v>32</v>
      </c>
      <c r="T67" s="7">
        <v>893323.76</v>
      </c>
      <c r="U67" s="7">
        <v>1191098.3700000001</v>
      </c>
      <c r="V67" s="7">
        <v>215411.13</v>
      </c>
      <c r="W67" s="6">
        <v>32</v>
      </c>
    </row>
    <row r="68" spans="2:23" x14ac:dyDescent="0.2">
      <c r="B68" s="7">
        <v>216563.35</v>
      </c>
      <c r="C68" s="7">
        <v>649690.02</v>
      </c>
      <c r="D68" s="7">
        <v>56490.720000000001</v>
      </c>
      <c r="E68" s="6">
        <v>34</v>
      </c>
      <c r="H68" s="7">
        <v>541408.36</v>
      </c>
      <c r="I68" s="7">
        <v>1624225.05</v>
      </c>
      <c r="J68" s="7">
        <v>141226.79999999999</v>
      </c>
      <c r="K68" s="6">
        <v>34</v>
      </c>
      <c r="N68" s="7">
        <v>866253.37</v>
      </c>
      <c r="O68" s="7">
        <v>2598760.08</v>
      </c>
      <c r="P68" s="7">
        <v>225962.88</v>
      </c>
      <c r="Q68" s="6">
        <v>34</v>
      </c>
      <c r="T68" s="7">
        <v>1191098.3799999999</v>
      </c>
      <c r="U68" s="7">
        <v>3573295.11</v>
      </c>
      <c r="V68" s="7">
        <v>310698.96000000002</v>
      </c>
      <c r="W68" s="6">
        <v>34</v>
      </c>
    </row>
    <row r="69" spans="2:23" ht="15" thickBot="1" x14ac:dyDescent="0.25">
      <c r="B69" s="8">
        <v>649690.03</v>
      </c>
      <c r="C69" s="9" t="s">
        <v>8</v>
      </c>
      <c r="D69" s="8">
        <v>203753.8</v>
      </c>
      <c r="E69" s="9">
        <v>35</v>
      </c>
      <c r="H69" s="8">
        <v>1624225.06</v>
      </c>
      <c r="I69" s="9" t="s">
        <v>8</v>
      </c>
      <c r="J69" s="8">
        <v>509384.5</v>
      </c>
      <c r="K69" s="9">
        <v>35</v>
      </c>
      <c r="N69" s="8">
        <v>2598760.09</v>
      </c>
      <c r="O69" s="9" t="s">
        <v>8</v>
      </c>
      <c r="P69" s="8">
        <v>815015.2</v>
      </c>
      <c r="Q69" s="9">
        <v>35</v>
      </c>
      <c r="T69" s="8">
        <v>3573295.12</v>
      </c>
      <c r="U69" s="9" t="s">
        <v>8</v>
      </c>
      <c r="V69" s="8">
        <v>1120645.8999999999</v>
      </c>
      <c r="W69" s="9">
        <v>35</v>
      </c>
    </row>
    <row r="70" spans="2:23" ht="15" thickTop="1" x14ac:dyDescent="0.2"/>
    <row r="72" spans="2:23" ht="15.75" thickBot="1" x14ac:dyDescent="0.3">
      <c r="C72" s="187" t="s">
        <v>20</v>
      </c>
      <c r="D72" s="187"/>
      <c r="I72" s="187" t="s">
        <v>21</v>
      </c>
      <c r="J72" s="187"/>
      <c r="O72" s="187" t="s">
        <v>22</v>
      </c>
      <c r="P72" s="187"/>
      <c r="U72" s="187" t="s">
        <v>23</v>
      </c>
      <c r="V72" s="187"/>
    </row>
    <row r="73" spans="2:23" ht="34.5" thickTop="1" x14ac:dyDescent="0.2">
      <c r="B73" s="10" t="s">
        <v>1</v>
      </c>
      <c r="C73" s="4" t="s">
        <v>2</v>
      </c>
      <c r="D73" s="4" t="s">
        <v>3</v>
      </c>
      <c r="E73" s="4" t="s">
        <v>354</v>
      </c>
      <c r="H73" s="10" t="s">
        <v>1</v>
      </c>
      <c r="I73" s="4" t="s">
        <v>2</v>
      </c>
      <c r="J73" s="4" t="s">
        <v>3</v>
      </c>
      <c r="K73" s="4" t="s">
        <v>354</v>
      </c>
      <c r="N73" s="10" t="s">
        <v>1</v>
      </c>
      <c r="O73" s="4" t="s">
        <v>2</v>
      </c>
      <c r="P73" s="4" t="s">
        <v>3</v>
      </c>
      <c r="Q73" s="4" t="s">
        <v>354</v>
      </c>
      <c r="T73" s="10" t="s">
        <v>1</v>
      </c>
      <c r="U73" s="4" t="s">
        <v>2</v>
      </c>
      <c r="V73" s="4" t="s">
        <v>3</v>
      </c>
      <c r="W73" s="4" t="s">
        <v>354</v>
      </c>
    </row>
    <row r="74" spans="2:23" ht="33.75" x14ac:dyDescent="0.2">
      <c r="B74" s="5"/>
      <c r="C74" s="5"/>
      <c r="D74" s="5"/>
      <c r="E74" s="5" t="s">
        <v>5</v>
      </c>
      <c r="H74" s="5"/>
      <c r="I74" s="5"/>
      <c r="J74" s="5"/>
      <c r="K74" s="5" t="s">
        <v>5</v>
      </c>
      <c r="N74" s="5"/>
      <c r="O74" s="5"/>
      <c r="P74" s="5"/>
      <c r="Q74" s="5" t="s">
        <v>5</v>
      </c>
      <c r="T74" s="5"/>
      <c r="U74" s="5"/>
      <c r="V74" s="5"/>
      <c r="W74" s="5" t="s">
        <v>5</v>
      </c>
    </row>
    <row r="75" spans="2:23" ht="15" thickBot="1" x14ac:dyDescent="0.25">
      <c r="B75" s="156" t="s">
        <v>6</v>
      </c>
      <c r="C75" s="156" t="s">
        <v>6</v>
      </c>
      <c r="D75" s="156" t="s">
        <v>6</v>
      </c>
      <c r="E75" s="156" t="s">
        <v>7</v>
      </c>
      <c r="H75" s="156" t="s">
        <v>6</v>
      </c>
      <c r="I75" s="156" t="s">
        <v>6</v>
      </c>
      <c r="J75" s="156" t="s">
        <v>6</v>
      </c>
      <c r="K75" s="156" t="s">
        <v>7</v>
      </c>
      <c r="N75" s="156" t="s">
        <v>6</v>
      </c>
      <c r="O75" s="156" t="s">
        <v>6</v>
      </c>
      <c r="P75" s="156" t="s">
        <v>6</v>
      </c>
      <c r="Q75" s="156" t="s">
        <v>7</v>
      </c>
      <c r="T75" s="156" t="s">
        <v>6</v>
      </c>
      <c r="U75" s="156" t="s">
        <v>6</v>
      </c>
      <c r="V75" s="156" t="s">
        <v>6</v>
      </c>
      <c r="W75" s="156" t="s">
        <v>7</v>
      </c>
    </row>
    <row r="76" spans="2:23" ht="15" thickTop="1" x14ac:dyDescent="0.2">
      <c r="B76" s="6">
        <v>0.01</v>
      </c>
      <c r="C76" s="7">
        <v>1933.74</v>
      </c>
      <c r="D76" s="6">
        <v>0</v>
      </c>
      <c r="E76" s="6">
        <v>1.92</v>
      </c>
      <c r="H76" s="6">
        <v>0.01</v>
      </c>
      <c r="I76" s="7">
        <v>3867.48</v>
      </c>
      <c r="J76" s="6">
        <v>0</v>
      </c>
      <c r="K76" s="6">
        <v>1.92</v>
      </c>
      <c r="N76" s="6">
        <v>0.01</v>
      </c>
      <c r="O76" s="7">
        <v>5801.22</v>
      </c>
      <c r="P76" s="6">
        <v>0</v>
      </c>
      <c r="Q76" s="6">
        <v>1.92</v>
      </c>
      <c r="T76" s="6">
        <v>0.01</v>
      </c>
      <c r="U76" s="7">
        <v>7735</v>
      </c>
      <c r="V76" s="6">
        <v>0</v>
      </c>
      <c r="W76" s="6">
        <v>1.92</v>
      </c>
    </row>
    <row r="77" spans="2:23" x14ac:dyDescent="0.2">
      <c r="B77" s="7">
        <v>1933.75</v>
      </c>
      <c r="C77" s="7">
        <v>16412.759999999998</v>
      </c>
      <c r="D77" s="6">
        <v>37.14</v>
      </c>
      <c r="E77" s="6">
        <v>6.4</v>
      </c>
      <c r="H77" s="7">
        <v>3867.49</v>
      </c>
      <c r="I77" s="7">
        <v>32825.519999999997</v>
      </c>
      <c r="J77" s="6">
        <v>74.28</v>
      </c>
      <c r="K77" s="6">
        <v>6.4</v>
      </c>
      <c r="N77" s="7">
        <v>5801.23</v>
      </c>
      <c r="O77" s="7">
        <v>49238.28</v>
      </c>
      <c r="P77" s="6">
        <v>111.42</v>
      </c>
      <c r="Q77" s="6">
        <v>6.4</v>
      </c>
      <c r="T77" s="7">
        <v>7735.01</v>
      </c>
      <c r="U77" s="7">
        <v>65651.070000000007</v>
      </c>
      <c r="V77" s="6">
        <v>148.51</v>
      </c>
      <c r="W77" s="6">
        <v>6.4</v>
      </c>
    </row>
    <row r="78" spans="2:23" x14ac:dyDescent="0.2">
      <c r="B78" s="7">
        <v>16412.77</v>
      </c>
      <c r="C78" s="7">
        <v>28843.98</v>
      </c>
      <c r="D78" s="6">
        <v>963.78</v>
      </c>
      <c r="E78" s="6">
        <v>10.88</v>
      </c>
      <c r="H78" s="7">
        <v>32825.53</v>
      </c>
      <c r="I78" s="7">
        <v>57687.96</v>
      </c>
      <c r="J78" s="7">
        <v>1927.56</v>
      </c>
      <c r="K78" s="6">
        <v>10.88</v>
      </c>
      <c r="N78" s="7">
        <v>49238.29</v>
      </c>
      <c r="O78" s="7">
        <v>86531.94</v>
      </c>
      <c r="P78" s="7">
        <v>2891.34</v>
      </c>
      <c r="Q78" s="6">
        <v>10.88</v>
      </c>
      <c r="T78" s="7">
        <v>65651.08</v>
      </c>
      <c r="U78" s="7">
        <v>115375.9</v>
      </c>
      <c r="V78" s="7">
        <v>3855.14</v>
      </c>
      <c r="W78" s="6">
        <v>10.88</v>
      </c>
    </row>
    <row r="79" spans="2:23" x14ac:dyDescent="0.2">
      <c r="B79" s="7">
        <v>28843.99</v>
      </c>
      <c r="C79" s="7">
        <v>33529.86</v>
      </c>
      <c r="D79" s="7">
        <v>2316.3000000000002</v>
      </c>
      <c r="E79" s="6">
        <v>16</v>
      </c>
      <c r="H79" s="7">
        <v>57687.97</v>
      </c>
      <c r="I79" s="7">
        <v>67059.72</v>
      </c>
      <c r="J79" s="7">
        <v>4632.6000000000004</v>
      </c>
      <c r="K79" s="6">
        <v>16</v>
      </c>
      <c r="N79" s="7">
        <v>86531.95</v>
      </c>
      <c r="O79" s="7">
        <v>100589.58</v>
      </c>
      <c r="P79" s="7">
        <v>6948.9</v>
      </c>
      <c r="Q79" s="6">
        <v>16</v>
      </c>
      <c r="T79" s="7">
        <v>115375.91</v>
      </c>
      <c r="U79" s="7">
        <v>134119.41</v>
      </c>
      <c r="V79" s="7">
        <v>9265.2000000000007</v>
      </c>
      <c r="W79" s="6">
        <v>16</v>
      </c>
    </row>
    <row r="80" spans="2:23" x14ac:dyDescent="0.2">
      <c r="B80" s="7">
        <v>33529.870000000003</v>
      </c>
      <c r="C80" s="7">
        <v>40144.410000000003</v>
      </c>
      <c r="D80" s="7">
        <v>3066.03</v>
      </c>
      <c r="E80" s="6">
        <v>17.920000000000002</v>
      </c>
      <c r="H80" s="7">
        <v>67059.73</v>
      </c>
      <c r="I80" s="7">
        <v>80288.820000000007</v>
      </c>
      <c r="J80" s="7">
        <v>6132.06</v>
      </c>
      <c r="K80" s="6">
        <v>17.920000000000002</v>
      </c>
      <c r="N80" s="7">
        <v>100589.59</v>
      </c>
      <c r="O80" s="7">
        <v>120433.23</v>
      </c>
      <c r="P80" s="7">
        <v>9198.09</v>
      </c>
      <c r="Q80" s="6">
        <v>17.920000000000002</v>
      </c>
      <c r="T80" s="7">
        <v>134119.42000000001</v>
      </c>
      <c r="U80" s="7">
        <v>160577.65</v>
      </c>
      <c r="V80" s="7">
        <v>12264.16</v>
      </c>
      <c r="W80" s="6">
        <v>17.920000000000002</v>
      </c>
    </row>
    <row r="81" spans="2:23" x14ac:dyDescent="0.2">
      <c r="B81" s="7">
        <v>40144.42</v>
      </c>
      <c r="C81" s="7">
        <v>80965.5</v>
      </c>
      <c r="D81" s="7">
        <v>4251.3599999999997</v>
      </c>
      <c r="E81" s="6">
        <v>21.36</v>
      </c>
      <c r="H81" s="7">
        <v>80288.83</v>
      </c>
      <c r="I81" s="7">
        <v>161931</v>
      </c>
      <c r="J81" s="7">
        <v>8502.7199999999993</v>
      </c>
      <c r="K81" s="6">
        <v>21.36</v>
      </c>
      <c r="N81" s="7">
        <v>120433.24</v>
      </c>
      <c r="O81" s="7">
        <v>242896.5</v>
      </c>
      <c r="P81" s="7">
        <v>12754.08</v>
      </c>
      <c r="Q81" s="6">
        <v>21.36</v>
      </c>
      <c r="T81" s="7">
        <v>160577.66</v>
      </c>
      <c r="U81" s="7">
        <v>323862</v>
      </c>
      <c r="V81" s="7">
        <v>17005.47</v>
      </c>
      <c r="W81" s="6">
        <v>21.36</v>
      </c>
    </row>
    <row r="82" spans="2:23" x14ac:dyDescent="0.2">
      <c r="B82" s="7">
        <v>80965.509999999995</v>
      </c>
      <c r="C82" s="7">
        <v>127612.74</v>
      </c>
      <c r="D82" s="7">
        <v>12970.74</v>
      </c>
      <c r="E82" s="6">
        <v>23.52</v>
      </c>
      <c r="H82" s="7">
        <v>161931.01</v>
      </c>
      <c r="I82" s="7">
        <v>255225.48</v>
      </c>
      <c r="J82" s="7">
        <v>25941.48</v>
      </c>
      <c r="K82" s="6">
        <v>23.52</v>
      </c>
      <c r="N82" s="7">
        <v>242896.51</v>
      </c>
      <c r="O82" s="7">
        <v>382838.22</v>
      </c>
      <c r="P82" s="7">
        <v>38912.22</v>
      </c>
      <c r="Q82" s="6">
        <v>23.52</v>
      </c>
      <c r="T82" s="7">
        <v>323862.01</v>
      </c>
      <c r="U82" s="7">
        <v>510451</v>
      </c>
      <c r="V82" s="7">
        <v>51883.01</v>
      </c>
      <c r="W82" s="6">
        <v>23.52</v>
      </c>
    </row>
    <row r="83" spans="2:23" x14ac:dyDescent="0.2">
      <c r="B83" s="7">
        <v>127612.75</v>
      </c>
      <c r="C83" s="7">
        <v>243633.75</v>
      </c>
      <c r="D83" s="7">
        <v>23942.19</v>
      </c>
      <c r="E83" s="6">
        <v>30</v>
      </c>
      <c r="H83" s="7">
        <v>255225.49</v>
      </c>
      <c r="I83" s="7">
        <v>487267.5</v>
      </c>
      <c r="J83" s="7">
        <v>47884.38</v>
      </c>
      <c r="K83" s="6">
        <v>30</v>
      </c>
      <c r="N83" s="7">
        <v>382838.23</v>
      </c>
      <c r="O83" s="7">
        <v>730901.25</v>
      </c>
      <c r="P83" s="7">
        <v>71826.570000000007</v>
      </c>
      <c r="Q83" s="6">
        <v>30</v>
      </c>
      <c r="T83" s="7">
        <v>510451.01</v>
      </c>
      <c r="U83" s="7">
        <v>974535.03</v>
      </c>
      <c r="V83" s="7">
        <v>95768.74</v>
      </c>
      <c r="W83" s="6">
        <v>30</v>
      </c>
    </row>
    <row r="84" spans="2:23" x14ac:dyDescent="0.2">
      <c r="B84" s="7">
        <v>243633.76</v>
      </c>
      <c r="C84" s="7">
        <v>324845.01</v>
      </c>
      <c r="D84" s="7">
        <v>58748.49</v>
      </c>
      <c r="E84" s="6">
        <v>32</v>
      </c>
      <c r="H84" s="7">
        <v>487267.51</v>
      </c>
      <c r="I84" s="7">
        <v>649690.02</v>
      </c>
      <c r="J84" s="7">
        <v>117496.98</v>
      </c>
      <c r="K84" s="6">
        <v>32</v>
      </c>
      <c r="N84" s="7">
        <v>730901.26</v>
      </c>
      <c r="O84" s="7">
        <v>974535.03</v>
      </c>
      <c r="P84" s="7">
        <v>176245.47</v>
      </c>
      <c r="Q84" s="6">
        <v>32</v>
      </c>
      <c r="T84" s="7">
        <v>974535.04</v>
      </c>
      <c r="U84" s="7">
        <v>1299380.04</v>
      </c>
      <c r="V84" s="7">
        <v>234993.95</v>
      </c>
      <c r="W84" s="6">
        <v>32</v>
      </c>
    </row>
    <row r="85" spans="2:23" x14ac:dyDescent="0.2">
      <c r="B85" s="7">
        <v>324845.02</v>
      </c>
      <c r="C85" s="7">
        <v>974535.03</v>
      </c>
      <c r="D85" s="7">
        <v>84736.08</v>
      </c>
      <c r="E85" s="6">
        <v>34</v>
      </c>
      <c r="H85" s="7">
        <v>649690.03</v>
      </c>
      <c r="I85" s="7">
        <v>1949070.06</v>
      </c>
      <c r="J85" s="7">
        <v>169472.16</v>
      </c>
      <c r="K85" s="6">
        <v>34</v>
      </c>
      <c r="N85" s="7">
        <v>974535.04</v>
      </c>
      <c r="O85" s="7">
        <v>2923605.09</v>
      </c>
      <c r="P85" s="7">
        <v>254208.24</v>
      </c>
      <c r="Q85" s="6">
        <v>34</v>
      </c>
      <c r="T85" s="7">
        <v>1299380.05</v>
      </c>
      <c r="U85" s="7">
        <v>3898140.12</v>
      </c>
      <c r="V85" s="7">
        <v>338944.34</v>
      </c>
      <c r="W85" s="6">
        <v>34</v>
      </c>
    </row>
    <row r="86" spans="2:23" ht="15" thickBot="1" x14ac:dyDescent="0.25">
      <c r="B86" s="8">
        <v>974535.04</v>
      </c>
      <c r="C86" s="9" t="s">
        <v>8</v>
      </c>
      <c r="D86" s="8">
        <v>305630.7</v>
      </c>
      <c r="E86" s="9">
        <v>35</v>
      </c>
      <c r="H86" s="8">
        <v>1949070.07</v>
      </c>
      <c r="I86" s="9" t="s">
        <v>8</v>
      </c>
      <c r="J86" s="8">
        <v>611261.4</v>
      </c>
      <c r="K86" s="9">
        <v>35</v>
      </c>
      <c r="N86" s="8">
        <v>2923605.1</v>
      </c>
      <c r="O86" s="9" t="s">
        <v>8</v>
      </c>
      <c r="P86" s="8">
        <v>916892.1</v>
      </c>
      <c r="Q86" s="9">
        <v>35</v>
      </c>
      <c r="T86" s="8">
        <v>3898140.13</v>
      </c>
      <c r="U86" s="9" t="s">
        <v>8</v>
      </c>
      <c r="V86" s="8">
        <v>1222522.76</v>
      </c>
      <c r="W86" s="9">
        <v>35</v>
      </c>
    </row>
    <row r="87" spans="2:23" ht="15" thickTop="1" x14ac:dyDescent="0.2"/>
  </sheetData>
  <mergeCells count="17">
    <mergeCell ref="H1:K1"/>
    <mergeCell ref="N1:Q1"/>
    <mergeCell ref="B1:E1"/>
    <mergeCell ref="B2:E2"/>
    <mergeCell ref="C72:D72"/>
    <mergeCell ref="I72:J72"/>
    <mergeCell ref="O72:P72"/>
    <mergeCell ref="U72:V72"/>
    <mergeCell ref="B20:D20"/>
    <mergeCell ref="C38:D38"/>
    <mergeCell ref="I38:J38"/>
    <mergeCell ref="O38:P38"/>
    <mergeCell ref="U38:V38"/>
    <mergeCell ref="C55:D55"/>
    <mergeCell ref="I55:J55"/>
    <mergeCell ref="O55:P55"/>
    <mergeCell ref="U55:V55"/>
  </mergeCells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55E725-F6BB-4F84-99CB-44E41983E80F}">
  <sheetPr>
    <tabColor rgb="FF002060"/>
  </sheetPr>
  <dimension ref="A1:B655"/>
  <sheetViews>
    <sheetView topLeftCell="A639" workbookViewId="0">
      <selection activeCell="E650" sqref="E650"/>
    </sheetView>
  </sheetViews>
  <sheetFormatPr baseColWidth="10" defaultColWidth="8" defaultRowHeight="15" x14ac:dyDescent="0.25"/>
  <cols>
    <col min="1" max="1" width="13.125" style="50" customWidth="1"/>
    <col min="2" max="2" width="19.125" style="50" customWidth="1"/>
    <col min="3" max="16384" width="8" style="50"/>
  </cols>
  <sheetData>
    <row r="1" spans="1:2" ht="18.75" x14ac:dyDescent="0.3">
      <c r="A1" s="49" t="s">
        <v>168</v>
      </c>
    </row>
    <row r="3" spans="1:2" x14ac:dyDescent="0.25">
      <c r="A3" s="51" t="s">
        <v>169</v>
      </c>
    </row>
    <row r="4" spans="1:2" x14ac:dyDescent="0.25">
      <c r="A4" s="52" t="s">
        <v>170</v>
      </c>
    </row>
    <row r="6" spans="1:2" x14ac:dyDescent="0.25">
      <c r="A6" s="51" t="s">
        <v>171</v>
      </c>
    </row>
    <row r="8" spans="1:2" x14ac:dyDescent="0.25">
      <c r="A8" s="53" t="s">
        <v>172</v>
      </c>
    </row>
    <row r="10" spans="1:2" ht="45" x14ac:dyDescent="0.25">
      <c r="A10" s="54" t="s">
        <v>173</v>
      </c>
      <c r="B10" s="55" t="s">
        <v>174</v>
      </c>
    </row>
    <row r="11" spans="1:2" ht="30" x14ac:dyDescent="0.25">
      <c r="A11" s="54" t="s">
        <v>175</v>
      </c>
      <c r="B11" s="56" t="s">
        <v>176</v>
      </c>
    </row>
    <row r="12" spans="1:2" x14ac:dyDescent="0.25">
      <c r="A12" s="54" t="s">
        <v>177</v>
      </c>
      <c r="B12" s="56" t="s">
        <v>178</v>
      </c>
    </row>
    <row r="13" spans="1:2" x14ac:dyDescent="0.25">
      <c r="A13" s="54" t="s">
        <v>179</v>
      </c>
      <c r="B13" s="56" t="s">
        <v>180</v>
      </c>
    </row>
    <row r="14" spans="1:2" x14ac:dyDescent="0.25">
      <c r="A14" s="54" t="s">
        <v>181</v>
      </c>
      <c r="B14" s="56" t="s">
        <v>182</v>
      </c>
    </row>
    <row r="15" spans="1:2" x14ac:dyDescent="0.25">
      <c r="A15" s="54" t="s">
        <v>183</v>
      </c>
      <c r="B15" s="56" t="s">
        <v>184</v>
      </c>
    </row>
    <row r="16" spans="1:2" ht="409.5" x14ac:dyDescent="0.25">
      <c r="A16" s="54" t="s">
        <v>185</v>
      </c>
      <c r="B16" s="57" t="s">
        <v>186</v>
      </c>
    </row>
    <row r="17" spans="1:2" ht="30" x14ac:dyDescent="0.25">
      <c r="A17" s="54" t="s">
        <v>187</v>
      </c>
      <c r="B17" s="56" t="s">
        <v>188</v>
      </c>
    </row>
    <row r="18" spans="1:2" x14ac:dyDescent="0.25">
      <c r="A18" s="58" t="s">
        <v>189</v>
      </c>
      <c r="B18" s="59" t="s">
        <v>190</v>
      </c>
    </row>
    <row r="19" spans="1:2" x14ac:dyDescent="0.25">
      <c r="A19" s="60">
        <v>25204</v>
      </c>
      <c r="B19" s="61">
        <v>1.1594999999999999E-2</v>
      </c>
    </row>
    <row r="20" spans="1:2" x14ac:dyDescent="0.25">
      <c r="A20" s="62">
        <v>25235</v>
      </c>
      <c r="B20" s="61">
        <v>1.1636000000000001E-2</v>
      </c>
    </row>
    <row r="21" spans="1:2" x14ac:dyDescent="0.25">
      <c r="A21" s="63">
        <v>25263</v>
      </c>
      <c r="B21" s="61">
        <v>1.1648E-2</v>
      </c>
    </row>
    <row r="22" spans="1:2" x14ac:dyDescent="0.25">
      <c r="A22" s="64">
        <v>25294</v>
      </c>
      <c r="B22" s="61">
        <v>1.1679999999999999E-2</v>
      </c>
    </row>
    <row r="23" spans="1:2" x14ac:dyDescent="0.25">
      <c r="A23" s="65">
        <v>25324</v>
      </c>
      <c r="B23" s="61">
        <v>1.1679999999999999E-2</v>
      </c>
    </row>
    <row r="24" spans="1:2" x14ac:dyDescent="0.25">
      <c r="A24" s="66">
        <v>25355</v>
      </c>
      <c r="B24" s="61">
        <v>1.1721000000000001E-2</v>
      </c>
    </row>
    <row r="25" spans="1:2" x14ac:dyDescent="0.25">
      <c r="A25" s="67">
        <v>25385</v>
      </c>
      <c r="B25" s="61">
        <v>1.1766E-2</v>
      </c>
    </row>
    <row r="26" spans="1:2" x14ac:dyDescent="0.25">
      <c r="A26" s="68">
        <v>25416</v>
      </c>
      <c r="B26" s="61">
        <v>1.1779E-2</v>
      </c>
    </row>
    <row r="27" spans="1:2" x14ac:dyDescent="0.25">
      <c r="A27" s="69">
        <v>25447</v>
      </c>
      <c r="B27" s="61">
        <v>1.1889E-2</v>
      </c>
    </row>
    <row r="28" spans="1:2" x14ac:dyDescent="0.25">
      <c r="A28" s="70">
        <v>25477</v>
      </c>
      <c r="B28" s="61">
        <v>1.2014E-2</v>
      </c>
    </row>
    <row r="29" spans="1:2" x14ac:dyDescent="0.25">
      <c r="A29" s="71">
        <v>25508</v>
      </c>
      <c r="B29" s="61">
        <v>1.2015E-2</v>
      </c>
    </row>
    <row r="30" spans="1:2" x14ac:dyDescent="0.25">
      <c r="A30" s="72">
        <v>25538</v>
      </c>
      <c r="B30" s="61">
        <v>1.2106E-2</v>
      </c>
    </row>
    <row r="31" spans="1:2" x14ac:dyDescent="0.25">
      <c r="A31" s="60">
        <v>25569</v>
      </c>
      <c r="B31" s="61">
        <v>1.2198000000000001E-2</v>
      </c>
    </row>
    <row r="32" spans="1:2" x14ac:dyDescent="0.25">
      <c r="A32" s="62">
        <v>25600</v>
      </c>
      <c r="B32" s="61">
        <v>1.2196E-2</v>
      </c>
    </row>
    <row r="33" spans="1:2" x14ac:dyDescent="0.25">
      <c r="A33" s="63">
        <v>25628</v>
      </c>
      <c r="B33" s="61">
        <v>1.2232E-2</v>
      </c>
    </row>
    <row r="34" spans="1:2" x14ac:dyDescent="0.25">
      <c r="A34" s="64">
        <v>25659</v>
      </c>
      <c r="B34" s="61">
        <v>1.2248E-2</v>
      </c>
    </row>
    <row r="35" spans="1:2" x14ac:dyDescent="0.25">
      <c r="A35" s="65">
        <v>25689</v>
      </c>
      <c r="B35" s="61">
        <v>1.2274E-2</v>
      </c>
    </row>
    <row r="36" spans="1:2" x14ac:dyDescent="0.25">
      <c r="A36" s="66">
        <v>25720</v>
      </c>
      <c r="B36" s="61">
        <v>1.2348E-2</v>
      </c>
    </row>
    <row r="37" spans="1:2" x14ac:dyDescent="0.25">
      <c r="A37" s="67">
        <v>25750</v>
      </c>
      <c r="B37" s="61">
        <v>1.2409E-2</v>
      </c>
    </row>
    <row r="38" spans="1:2" x14ac:dyDescent="0.25">
      <c r="A38" s="68">
        <v>25781</v>
      </c>
      <c r="B38" s="61">
        <v>1.2466E-2</v>
      </c>
    </row>
    <row r="39" spans="1:2" x14ac:dyDescent="0.25">
      <c r="A39" s="69">
        <v>25812</v>
      </c>
      <c r="B39" s="61">
        <v>1.2496E-2</v>
      </c>
    </row>
    <row r="40" spans="1:2" x14ac:dyDescent="0.25">
      <c r="A40" s="70">
        <v>25842</v>
      </c>
      <c r="B40" s="61">
        <v>1.2500000000000001E-2</v>
      </c>
    </row>
    <row r="41" spans="1:2" x14ac:dyDescent="0.25">
      <c r="A41" s="71">
        <v>25873</v>
      </c>
      <c r="B41" s="61">
        <v>1.2567999999999999E-2</v>
      </c>
    </row>
    <row r="42" spans="1:2" x14ac:dyDescent="0.25">
      <c r="A42" s="72">
        <v>25903</v>
      </c>
      <c r="B42" s="61">
        <v>1.2674E-2</v>
      </c>
    </row>
    <row r="43" spans="1:2" x14ac:dyDescent="0.25">
      <c r="A43" s="60">
        <v>25934</v>
      </c>
      <c r="B43" s="61">
        <v>1.2799E-2</v>
      </c>
    </row>
    <row r="44" spans="1:2" x14ac:dyDescent="0.25">
      <c r="A44" s="62">
        <v>25965</v>
      </c>
      <c r="B44" s="61">
        <v>1.2852000000000001E-2</v>
      </c>
    </row>
    <row r="45" spans="1:2" x14ac:dyDescent="0.25">
      <c r="A45" s="63">
        <v>25993</v>
      </c>
      <c r="B45" s="61">
        <v>1.2900999999999999E-2</v>
      </c>
    </row>
    <row r="46" spans="1:2" x14ac:dyDescent="0.25">
      <c r="A46" s="64">
        <v>26024</v>
      </c>
      <c r="B46" s="61">
        <v>1.2966999999999999E-2</v>
      </c>
    </row>
    <row r="47" spans="1:2" x14ac:dyDescent="0.25">
      <c r="A47" s="65">
        <v>26054</v>
      </c>
      <c r="B47" s="61">
        <v>1.2994E-2</v>
      </c>
    </row>
    <row r="48" spans="1:2" x14ac:dyDescent="0.25">
      <c r="A48" s="66">
        <v>26085</v>
      </c>
      <c r="B48" s="61">
        <v>1.3053E-2</v>
      </c>
    </row>
    <row r="49" spans="1:2" x14ac:dyDescent="0.25">
      <c r="A49" s="67">
        <v>26115</v>
      </c>
      <c r="B49" s="61">
        <v>1.3043000000000001E-2</v>
      </c>
    </row>
    <row r="50" spans="1:2" x14ac:dyDescent="0.25">
      <c r="A50" s="68">
        <v>26146</v>
      </c>
      <c r="B50" s="61">
        <v>1.3162E-2</v>
      </c>
    </row>
    <row r="51" spans="1:2" x14ac:dyDescent="0.25">
      <c r="A51" s="69">
        <v>26177</v>
      </c>
      <c r="B51" s="61">
        <v>1.3205E-2</v>
      </c>
    </row>
    <row r="52" spans="1:2" x14ac:dyDescent="0.25">
      <c r="A52" s="70">
        <v>26207</v>
      </c>
      <c r="B52" s="61">
        <v>1.3218000000000001E-2</v>
      </c>
    </row>
    <row r="53" spans="1:2" x14ac:dyDescent="0.25">
      <c r="A53" s="71">
        <v>26238</v>
      </c>
      <c r="B53" s="61">
        <v>1.324E-2</v>
      </c>
    </row>
    <row r="54" spans="1:2" x14ac:dyDescent="0.25">
      <c r="A54" s="72">
        <v>26268</v>
      </c>
      <c r="B54" s="61">
        <v>1.3303000000000001E-2</v>
      </c>
    </row>
    <row r="55" spans="1:2" x14ac:dyDescent="0.25">
      <c r="A55" s="60">
        <v>26299</v>
      </c>
      <c r="B55" s="61">
        <v>1.3362000000000001E-2</v>
      </c>
    </row>
    <row r="56" spans="1:2" x14ac:dyDescent="0.25">
      <c r="A56" s="62">
        <v>26330</v>
      </c>
      <c r="B56" s="61">
        <v>1.3403E-2</v>
      </c>
    </row>
    <row r="57" spans="1:2" x14ac:dyDescent="0.25">
      <c r="A57" s="63">
        <v>26359</v>
      </c>
      <c r="B57" s="61">
        <v>1.3476E-2</v>
      </c>
    </row>
    <row r="58" spans="1:2" x14ac:dyDescent="0.25">
      <c r="A58" s="64">
        <v>26390</v>
      </c>
      <c r="B58" s="61">
        <v>1.3561E-2</v>
      </c>
    </row>
    <row r="59" spans="1:2" x14ac:dyDescent="0.25">
      <c r="A59" s="65">
        <v>26420</v>
      </c>
      <c r="B59" s="61">
        <v>1.3587999999999999E-2</v>
      </c>
    </row>
    <row r="60" spans="1:2" x14ac:dyDescent="0.25">
      <c r="A60" s="66">
        <v>26451</v>
      </c>
      <c r="B60" s="61">
        <v>1.3689E-2</v>
      </c>
    </row>
    <row r="61" spans="1:2" x14ac:dyDescent="0.25">
      <c r="A61" s="67">
        <v>26481</v>
      </c>
      <c r="B61" s="61">
        <v>1.374E-2</v>
      </c>
    </row>
    <row r="62" spans="1:2" x14ac:dyDescent="0.25">
      <c r="A62" s="68">
        <v>26512</v>
      </c>
      <c r="B62" s="61">
        <v>1.3831E-2</v>
      </c>
    </row>
    <row r="63" spans="1:2" x14ac:dyDescent="0.25">
      <c r="A63" s="69">
        <v>26543</v>
      </c>
      <c r="B63" s="61">
        <v>1.3894E-2</v>
      </c>
    </row>
    <row r="64" spans="1:2" x14ac:dyDescent="0.25">
      <c r="A64" s="70">
        <v>26573</v>
      </c>
      <c r="B64" s="61">
        <v>1.3904E-2</v>
      </c>
    </row>
    <row r="65" spans="1:2" x14ac:dyDescent="0.25">
      <c r="A65" s="71">
        <v>26604</v>
      </c>
      <c r="B65" s="61">
        <v>1.3993999999999999E-2</v>
      </c>
    </row>
    <row r="66" spans="1:2" x14ac:dyDescent="0.25">
      <c r="A66" s="72">
        <v>26634</v>
      </c>
      <c r="B66" s="61">
        <v>1.4042000000000001E-2</v>
      </c>
    </row>
    <row r="67" spans="1:2" x14ac:dyDescent="0.25">
      <c r="A67" s="60">
        <v>26665</v>
      </c>
      <c r="B67" s="61">
        <v>1.4246E-2</v>
      </c>
    </row>
    <row r="68" spans="1:2" x14ac:dyDescent="0.25">
      <c r="A68" s="62">
        <v>26696</v>
      </c>
      <c r="B68" s="61">
        <v>1.4363000000000001E-2</v>
      </c>
    </row>
    <row r="69" spans="1:2" x14ac:dyDescent="0.25">
      <c r="A69" s="63">
        <v>26724</v>
      </c>
      <c r="B69" s="61">
        <v>1.4489999999999999E-2</v>
      </c>
    </row>
    <row r="70" spans="1:2" x14ac:dyDescent="0.25">
      <c r="A70" s="64">
        <v>26755</v>
      </c>
      <c r="B70" s="61">
        <v>1.4718999999999999E-2</v>
      </c>
    </row>
    <row r="71" spans="1:2" x14ac:dyDescent="0.25">
      <c r="A71" s="65">
        <v>26785</v>
      </c>
      <c r="B71" s="61">
        <v>1.4876E-2</v>
      </c>
    </row>
    <row r="72" spans="1:2" x14ac:dyDescent="0.25">
      <c r="A72" s="66">
        <v>26816</v>
      </c>
      <c r="B72" s="61">
        <v>1.4997999999999999E-2</v>
      </c>
    </row>
    <row r="73" spans="1:2" x14ac:dyDescent="0.25">
      <c r="A73" s="67">
        <v>26846</v>
      </c>
      <c r="B73" s="61">
        <v>1.5382E-2</v>
      </c>
    </row>
    <row r="74" spans="1:2" x14ac:dyDescent="0.25">
      <c r="A74" s="68">
        <v>26877</v>
      </c>
      <c r="B74" s="61">
        <v>1.5629000000000001E-2</v>
      </c>
    </row>
    <row r="75" spans="1:2" x14ac:dyDescent="0.25">
      <c r="A75" s="69">
        <v>26908</v>
      </c>
      <c r="B75" s="61">
        <v>1.6001000000000001E-2</v>
      </c>
    </row>
    <row r="76" spans="1:2" x14ac:dyDescent="0.25">
      <c r="A76" s="70">
        <v>26938</v>
      </c>
      <c r="B76" s="61">
        <v>1.6206000000000002E-2</v>
      </c>
    </row>
    <row r="77" spans="1:2" x14ac:dyDescent="0.25">
      <c r="A77" s="71">
        <v>26969</v>
      </c>
      <c r="B77" s="61">
        <v>1.6406E-2</v>
      </c>
    </row>
    <row r="78" spans="1:2" x14ac:dyDescent="0.25">
      <c r="A78" s="72">
        <v>26999</v>
      </c>
      <c r="B78" s="61">
        <v>1.7042999999999999E-2</v>
      </c>
    </row>
    <row r="79" spans="1:2" x14ac:dyDescent="0.25">
      <c r="A79" s="60">
        <v>27030</v>
      </c>
      <c r="B79" s="61">
        <v>1.7652999999999999E-2</v>
      </c>
    </row>
    <row r="80" spans="1:2" x14ac:dyDescent="0.25">
      <c r="A80" s="62">
        <v>27061</v>
      </c>
      <c r="B80" s="61">
        <v>1.8051999999999999E-2</v>
      </c>
    </row>
    <row r="81" spans="1:2" x14ac:dyDescent="0.25">
      <c r="A81" s="63">
        <v>27089</v>
      </c>
      <c r="B81" s="61">
        <v>1.8190999999999999E-2</v>
      </c>
    </row>
    <row r="82" spans="1:2" x14ac:dyDescent="0.25">
      <c r="A82" s="64">
        <v>27120</v>
      </c>
      <c r="B82" s="61">
        <v>1.8438E-2</v>
      </c>
    </row>
    <row r="83" spans="1:2" x14ac:dyDescent="0.25">
      <c r="A83" s="65">
        <v>27150</v>
      </c>
      <c r="B83" s="61">
        <v>1.8582999999999999E-2</v>
      </c>
    </row>
    <row r="84" spans="1:2" x14ac:dyDescent="0.25">
      <c r="A84" s="66">
        <v>27181</v>
      </c>
      <c r="B84" s="61">
        <v>1.8766000000000001E-2</v>
      </c>
    </row>
    <row r="85" spans="1:2" x14ac:dyDescent="0.25">
      <c r="A85" s="67">
        <v>27211</v>
      </c>
      <c r="B85" s="61">
        <v>1.9037999999999999E-2</v>
      </c>
    </row>
    <row r="86" spans="1:2" x14ac:dyDescent="0.25">
      <c r="A86" s="68">
        <v>27242</v>
      </c>
      <c r="B86" s="61">
        <v>1.9238999999999999E-2</v>
      </c>
    </row>
    <row r="87" spans="1:2" x14ac:dyDescent="0.25">
      <c r="A87" s="69">
        <v>27273</v>
      </c>
      <c r="B87" s="61">
        <v>1.9456999999999999E-2</v>
      </c>
    </row>
    <row r="88" spans="1:2" x14ac:dyDescent="0.25">
      <c r="A88" s="70">
        <v>27303</v>
      </c>
      <c r="B88" s="61">
        <v>1.9843E-2</v>
      </c>
    </row>
    <row r="89" spans="1:2" x14ac:dyDescent="0.25">
      <c r="A89" s="71">
        <v>27334</v>
      </c>
      <c r="B89" s="61">
        <v>2.0393999999999999E-2</v>
      </c>
    </row>
    <row r="90" spans="1:2" x14ac:dyDescent="0.25">
      <c r="A90" s="72">
        <v>27364</v>
      </c>
      <c r="B90" s="61">
        <v>2.0552999999999998E-2</v>
      </c>
    </row>
    <row r="91" spans="1:2" x14ac:dyDescent="0.25">
      <c r="A91" s="60">
        <v>27395</v>
      </c>
      <c r="B91" s="61">
        <v>2.0816000000000001E-2</v>
      </c>
    </row>
    <row r="92" spans="1:2" x14ac:dyDescent="0.25">
      <c r="A92" s="62">
        <v>27426</v>
      </c>
      <c r="B92" s="61">
        <v>2.0931000000000002E-2</v>
      </c>
    </row>
    <row r="93" spans="1:2" x14ac:dyDescent="0.25">
      <c r="A93" s="63">
        <v>27454</v>
      </c>
      <c r="B93" s="61">
        <v>2.1062999999999998E-2</v>
      </c>
    </row>
    <row r="94" spans="1:2" x14ac:dyDescent="0.25">
      <c r="A94" s="64">
        <v>27485</v>
      </c>
      <c r="B94" s="61">
        <v>2.1240999999999999E-2</v>
      </c>
    </row>
    <row r="95" spans="1:2" x14ac:dyDescent="0.25">
      <c r="A95" s="65">
        <v>27515</v>
      </c>
      <c r="B95" s="61">
        <v>2.1524999999999999E-2</v>
      </c>
    </row>
    <row r="96" spans="1:2" x14ac:dyDescent="0.25">
      <c r="A96" s="66">
        <v>27546</v>
      </c>
      <c r="B96" s="61">
        <v>2.1891000000000001E-2</v>
      </c>
    </row>
    <row r="97" spans="1:2" x14ac:dyDescent="0.25">
      <c r="A97" s="67">
        <v>27576</v>
      </c>
      <c r="B97" s="61">
        <v>2.2065999999999999E-2</v>
      </c>
    </row>
    <row r="98" spans="1:2" x14ac:dyDescent="0.25">
      <c r="A98" s="68">
        <v>27607</v>
      </c>
      <c r="B98" s="61">
        <v>2.2256999999999999E-2</v>
      </c>
    </row>
    <row r="99" spans="1:2" x14ac:dyDescent="0.25">
      <c r="A99" s="69">
        <v>27638</v>
      </c>
      <c r="B99" s="61">
        <v>2.2419000000000001E-2</v>
      </c>
    </row>
    <row r="100" spans="1:2" x14ac:dyDescent="0.25">
      <c r="A100" s="70">
        <v>27668</v>
      </c>
      <c r="B100" s="61">
        <v>2.2533999999999998E-2</v>
      </c>
    </row>
    <row r="101" spans="1:2" x14ac:dyDescent="0.25">
      <c r="A101" s="71">
        <v>27699</v>
      </c>
      <c r="B101" s="61">
        <v>2.2692E-2</v>
      </c>
    </row>
    <row r="102" spans="1:2" x14ac:dyDescent="0.25">
      <c r="A102" s="72">
        <v>27729</v>
      </c>
      <c r="B102" s="61">
        <v>2.2877000000000002E-2</v>
      </c>
    </row>
    <row r="103" spans="1:2" x14ac:dyDescent="0.25">
      <c r="A103" s="60">
        <v>27760</v>
      </c>
      <c r="B103" s="61">
        <v>2.3318999999999999E-2</v>
      </c>
    </row>
    <row r="104" spans="1:2" x14ac:dyDescent="0.25">
      <c r="A104" s="62">
        <v>27791</v>
      </c>
      <c r="B104" s="61">
        <v>2.3754999999999998E-2</v>
      </c>
    </row>
    <row r="105" spans="1:2" x14ac:dyDescent="0.25">
      <c r="A105" s="63">
        <v>27820</v>
      </c>
      <c r="B105" s="61">
        <v>2.3987999999999999E-2</v>
      </c>
    </row>
    <row r="106" spans="1:2" x14ac:dyDescent="0.25">
      <c r="A106" s="64">
        <v>27851</v>
      </c>
      <c r="B106" s="61">
        <v>2.4156E-2</v>
      </c>
    </row>
    <row r="107" spans="1:2" x14ac:dyDescent="0.25">
      <c r="A107" s="65">
        <v>27881</v>
      </c>
      <c r="B107" s="61">
        <v>2.4324999999999999E-2</v>
      </c>
    </row>
    <row r="108" spans="1:2" x14ac:dyDescent="0.25">
      <c r="A108" s="66">
        <v>27912</v>
      </c>
      <c r="B108" s="61">
        <v>2.4423E-2</v>
      </c>
    </row>
    <row r="109" spans="1:2" x14ac:dyDescent="0.25">
      <c r="A109" s="67">
        <v>27942</v>
      </c>
      <c r="B109" s="61">
        <v>2.4629000000000002E-2</v>
      </c>
    </row>
    <row r="110" spans="1:2" x14ac:dyDescent="0.25">
      <c r="A110" s="68">
        <v>27973</v>
      </c>
      <c r="B110" s="61">
        <v>2.4865000000000002E-2</v>
      </c>
    </row>
    <row r="111" spans="1:2" x14ac:dyDescent="0.25">
      <c r="A111" s="69">
        <v>28004</v>
      </c>
      <c r="B111" s="61">
        <v>2.5713E-2</v>
      </c>
    </row>
    <row r="112" spans="1:2" x14ac:dyDescent="0.25">
      <c r="A112" s="70">
        <v>28034</v>
      </c>
      <c r="B112" s="61">
        <v>2.7161000000000001E-2</v>
      </c>
    </row>
    <row r="113" spans="1:2" x14ac:dyDescent="0.25">
      <c r="A113" s="71">
        <v>28065</v>
      </c>
      <c r="B113" s="61">
        <v>2.8388E-2</v>
      </c>
    </row>
    <row r="114" spans="1:2" x14ac:dyDescent="0.25">
      <c r="A114" s="72">
        <v>28095</v>
      </c>
      <c r="B114" s="61">
        <v>2.9100000000000001E-2</v>
      </c>
    </row>
    <row r="115" spans="1:2" x14ac:dyDescent="0.25">
      <c r="A115" s="60">
        <v>28126</v>
      </c>
      <c r="B115" s="61">
        <v>3.0027000000000002E-2</v>
      </c>
    </row>
    <row r="116" spans="1:2" x14ac:dyDescent="0.25">
      <c r="A116" s="62">
        <v>28157</v>
      </c>
      <c r="B116" s="61">
        <v>3.0689999999999999E-2</v>
      </c>
    </row>
    <row r="117" spans="1:2" x14ac:dyDescent="0.25">
      <c r="A117" s="63">
        <v>28185</v>
      </c>
      <c r="B117" s="61">
        <v>3.1224999999999999E-2</v>
      </c>
    </row>
    <row r="118" spans="1:2" x14ac:dyDescent="0.25">
      <c r="A118" s="64">
        <v>28216</v>
      </c>
      <c r="B118" s="61">
        <v>3.1697000000000003E-2</v>
      </c>
    </row>
    <row r="119" spans="1:2" x14ac:dyDescent="0.25">
      <c r="A119" s="65">
        <v>28246</v>
      </c>
      <c r="B119" s="61">
        <v>3.1975999999999997E-2</v>
      </c>
    </row>
    <row r="120" spans="1:2" x14ac:dyDescent="0.25">
      <c r="A120" s="66">
        <v>28277</v>
      </c>
      <c r="B120" s="61">
        <v>3.2368000000000001E-2</v>
      </c>
    </row>
    <row r="121" spans="1:2" x14ac:dyDescent="0.25">
      <c r="A121" s="67">
        <v>28307</v>
      </c>
      <c r="B121" s="61">
        <v>3.2733999999999999E-2</v>
      </c>
    </row>
    <row r="122" spans="1:2" x14ac:dyDescent="0.25">
      <c r="A122" s="68">
        <v>28338</v>
      </c>
      <c r="B122" s="61">
        <v>3.3404999999999997E-2</v>
      </c>
    </row>
    <row r="123" spans="1:2" x14ac:dyDescent="0.25">
      <c r="A123" s="69">
        <v>28369</v>
      </c>
      <c r="B123" s="61">
        <v>3.3998E-2</v>
      </c>
    </row>
    <row r="124" spans="1:2" x14ac:dyDescent="0.25">
      <c r="A124" s="70">
        <v>28399</v>
      </c>
      <c r="B124" s="61">
        <v>3.4257999999999997E-2</v>
      </c>
    </row>
    <row r="125" spans="1:2" x14ac:dyDescent="0.25">
      <c r="A125" s="71">
        <v>28430</v>
      </c>
      <c r="B125" s="61">
        <v>3.4632000000000003E-2</v>
      </c>
    </row>
    <row r="126" spans="1:2" x14ac:dyDescent="0.25">
      <c r="A126" s="72">
        <v>28460</v>
      </c>
      <c r="B126" s="61">
        <v>3.5111999999999997E-2</v>
      </c>
    </row>
    <row r="127" spans="1:2" x14ac:dyDescent="0.25">
      <c r="A127" s="60">
        <v>28491</v>
      </c>
      <c r="B127" s="61">
        <v>3.5892E-2</v>
      </c>
    </row>
    <row r="128" spans="1:2" x14ac:dyDescent="0.25">
      <c r="A128" s="62">
        <v>28522</v>
      </c>
      <c r="B128" s="61">
        <v>3.6408000000000003E-2</v>
      </c>
    </row>
    <row r="129" spans="1:2" x14ac:dyDescent="0.25">
      <c r="A129" s="63">
        <v>28550</v>
      </c>
      <c r="B129" s="61">
        <v>3.6787E-2</v>
      </c>
    </row>
    <row r="130" spans="1:2" x14ac:dyDescent="0.25">
      <c r="A130" s="64">
        <v>28581</v>
      </c>
      <c r="B130" s="61">
        <v>3.7196E-2</v>
      </c>
    </row>
    <row r="131" spans="1:2" x14ac:dyDescent="0.25">
      <c r="A131" s="65">
        <v>28611</v>
      </c>
      <c r="B131" s="61">
        <v>3.7560000000000003E-2</v>
      </c>
    </row>
    <row r="132" spans="1:2" x14ac:dyDescent="0.25">
      <c r="A132" s="66">
        <v>28642</v>
      </c>
      <c r="B132" s="61">
        <v>3.8077E-2</v>
      </c>
    </row>
    <row r="133" spans="1:2" x14ac:dyDescent="0.25">
      <c r="A133" s="67">
        <v>28672</v>
      </c>
      <c r="B133" s="61">
        <v>3.8723E-2</v>
      </c>
    </row>
    <row r="134" spans="1:2" x14ac:dyDescent="0.25">
      <c r="A134" s="68">
        <v>28703</v>
      </c>
      <c r="B134" s="61">
        <v>3.9108999999999998E-2</v>
      </c>
    </row>
    <row r="135" spans="1:2" x14ac:dyDescent="0.25">
      <c r="A135" s="69">
        <v>28734</v>
      </c>
      <c r="B135" s="61">
        <v>3.9555E-2</v>
      </c>
    </row>
    <row r="136" spans="1:2" x14ac:dyDescent="0.25">
      <c r="A136" s="70">
        <v>28764</v>
      </c>
      <c r="B136" s="61">
        <v>4.0034E-2</v>
      </c>
    </row>
    <row r="137" spans="1:2" x14ac:dyDescent="0.25">
      <c r="A137" s="71">
        <v>28795</v>
      </c>
      <c r="B137" s="61">
        <v>4.0446000000000003E-2</v>
      </c>
    </row>
    <row r="138" spans="1:2" x14ac:dyDescent="0.25">
      <c r="A138" s="72">
        <v>28825</v>
      </c>
      <c r="B138" s="61">
        <v>4.0788999999999999E-2</v>
      </c>
    </row>
    <row r="139" spans="1:2" x14ac:dyDescent="0.25">
      <c r="A139" s="60">
        <v>28856</v>
      </c>
      <c r="B139" s="61">
        <v>4.2236999999999997E-2</v>
      </c>
    </row>
    <row r="140" spans="1:2" x14ac:dyDescent="0.25">
      <c r="A140" s="62">
        <v>28887</v>
      </c>
      <c r="B140" s="61">
        <v>4.2845000000000001E-2</v>
      </c>
    </row>
    <row r="141" spans="1:2" x14ac:dyDescent="0.25">
      <c r="A141" s="63">
        <v>28915</v>
      </c>
      <c r="B141" s="61">
        <v>4.3425999999999999E-2</v>
      </c>
    </row>
    <row r="142" spans="1:2" x14ac:dyDescent="0.25">
      <c r="A142" s="64">
        <v>28946</v>
      </c>
      <c r="B142" s="61">
        <v>4.3815E-2</v>
      </c>
    </row>
    <row r="143" spans="1:2" x14ac:dyDescent="0.25">
      <c r="A143" s="65">
        <v>28976</v>
      </c>
      <c r="B143" s="61">
        <v>4.4388999999999998E-2</v>
      </c>
    </row>
    <row r="144" spans="1:2" x14ac:dyDescent="0.25">
      <c r="A144" s="66">
        <v>29007</v>
      </c>
      <c r="B144" s="61">
        <v>4.4880999999999997E-2</v>
      </c>
    </row>
    <row r="145" spans="1:2" x14ac:dyDescent="0.25">
      <c r="A145" s="67">
        <v>29037</v>
      </c>
      <c r="B145" s="61">
        <v>4.5425E-2</v>
      </c>
    </row>
    <row r="146" spans="1:2" x14ac:dyDescent="0.25">
      <c r="A146" s="68">
        <v>29068</v>
      </c>
      <c r="B146" s="61">
        <v>4.6112E-2</v>
      </c>
    </row>
    <row r="147" spans="1:2" x14ac:dyDescent="0.25">
      <c r="A147" s="69">
        <v>29099</v>
      </c>
      <c r="B147" s="61">
        <v>4.6677999999999997E-2</v>
      </c>
    </row>
    <row r="148" spans="1:2" x14ac:dyDescent="0.25">
      <c r="A148" s="70">
        <v>29129</v>
      </c>
      <c r="B148" s="61">
        <v>4.7493E-2</v>
      </c>
    </row>
    <row r="149" spans="1:2" x14ac:dyDescent="0.25">
      <c r="A149" s="71">
        <v>29160</v>
      </c>
      <c r="B149" s="61">
        <v>4.8104000000000001E-2</v>
      </c>
    </row>
    <row r="150" spans="1:2" x14ac:dyDescent="0.25">
      <c r="A150" s="72">
        <v>29190</v>
      </c>
      <c r="B150" s="61">
        <v>4.8956E-2</v>
      </c>
    </row>
    <row r="151" spans="1:2" x14ac:dyDescent="0.25">
      <c r="A151" s="60">
        <v>29221</v>
      </c>
      <c r="B151" s="61">
        <v>5.1341999999999999E-2</v>
      </c>
    </row>
    <row r="152" spans="1:2" x14ac:dyDescent="0.25">
      <c r="A152" s="62">
        <v>29252</v>
      </c>
      <c r="B152" s="61">
        <v>5.2528999999999999E-2</v>
      </c>
    </row>
    <row r="153" spans="1:2" x14ac:dyDescent="0.25">
      <c r="A153" s="63">
        <v>29281</v>
      </c>
      <c r="B153" s="61">
        <v>5.3609999999999998E-2</v>
      </c>
    </row>
    <row r="154" spans="1:2" x14ac:dyDescent="0.25">
      <c r="A154" s="64">
        <v>29312</v>
      </c>
      <c r="B154" s="61">
        <v>5.4546999999999998E-2</v>
      </c>
    </row>
    <row r="155" spans="1:2" x14ac:dyDescent="0.25">
      <c r="A155" s="65">
        <v>29342</v>
      </c>
      <c r="B155" s="61">
        <v>5.5437E-2</v>
      </c>
    </row>
    <row r="156" spans="1:2" x14ac:dyDescent="0.25">
      <c r="A156" s="66">
        <v>29373</v>
      </c>
      <c r="B156" s="61">
        <v>5.6536000000000003E-2</v>
      </c>
    </row>
    <row r="157" spans="1:2" x14ac:dyDescent="0.25">
      <c r="A157" s="67">
        <v>29403</v>
      </c>
      <c r="B157" s="61">
        <v>5.8115E-2</v>
      </c>
    </row>
    <row r="158" spans="1:2" x14ac:dyDescent="0.25">
      <c r="A158" s="68">
        <v>29434</v>
      </c>
      <c r="B158" s="61">
        <v>5.9318999999999997E-2</v>
      </c>
    </row>
    <row r="159" spans="1:2" x14ac:dyDescent="0.25">
      <c r="A159" s="69">
        <v>29465</v>
      </c>
      <c r="B159" s="61">
        <v>5.9977999999999997E-2</v>
      </c>
    </row>
    <row r="160" spans="1:2" x14ac:dyDescent="0.25">
      <c r="A160" s="70">
        <v>29495</v>
      </c>
      <c r="B160" s="61">
        <v>6.0886000000000003E-2</v>
      </c>
    </row>
    <row r="161" spans="1:2" x14ac:dyDescent="0.25">
      <c r="A161" s="71">
        <v>29526</v>
      </c>
      <c r="B161" s="61">
        <v>6.1941999999999997E-2</v>
      </c>
    </row>
    <row r="162" spans="1:2" x14ac:dyDescent="0.25">
      <c r="A162" s="72">
        <v>29556</v>
      </c>
      <c r="B162" s="61">
        <v>6.3566999999999999E-2</v>
      </c>
    </row>
    <row r="163" spans="1:2" x14ac:dyDescent="0.25">
      <c r="A163" s="60">
        <v>29587</v>
      </c>
      <c r="B163" s="61">
        <v>6.5615000000000007E-2</v>
      </c>
    </row>
    <row r="164" spans="1:2" x14ac:dyDescent="0.25">
      <c r="A164" s="62">
        <v>29618</v>
      </c>
      <c r="B164" s="61">
        <v>6.7226999999999995E-2</v>
      </c>
    </row>
    <row r="165" spans="1:2" x14ac:dyDescent="0.25">
      <c r="A165" s="63">
        <v>29646</v>
      </c>
      <c r="B165" s="61">
        <v>6.8665000000000004E-2</v>
      </c>
    </row>
    <row r="166" spans="1:2" x14ac:dyDescent="0.25">
      <c r="A166" s="64">
        <v>29677</v>
      </c>
      <c r="B166" s="61">
        <v>7.0212999999999998E-2</v>
      </c>
    </row>
    <row r="167" spans="1:2" x14ac:dyDescent="0.25">
      <c r="A167" s="65">
        <v>29707</v>
      </c>
      <c r="B167" s="61">
        <v>7.1275000000000005E-2</v>
      </c>
    </row>
    <row r="168" spans="1:2" x14ac:dyDescent="0.25">
      <c r="A168" s="66">
        <v>29738</v>
      </c>
      <c r="B168" s="61">
        <v>7.2271000000000002E-2</v>
      </c>
    </row>
    <row r="169" spans="1:2" x14ac:dyDescent="0.25">
      <c r="A169" s="67">
        <v>29768</v>
      </c>
      <c r="B169" s="61">
        <v>7.3543999999999998E-2</v>
      </c>
    </row>
    <row r="170" spans="1:2" x14ac:dyDescent="0.25">
      <c r="A170" s="68">
        <v>29799</v>
      </c>
      <c r="B170" s="61">
        <v>7.5060000000000002E-2</v>
      </c>
    </row>
    <row r="171" spans="1:2" x14ac:dyDescent="0.25">
      <c r="A171" s="69">
        <v>29830</v>
      </c>
      <c r="B171" s="61">
        <v>7.6455999999999996E-2</v>
      </c>
    </row>
    <row r="172" spans="1:2" x14ac:dyDescent="0.25">
      <c r="A172" s="70">
        <v>29860</v>
      </c>
      <c r="B172" s="61">
        <v>7.8153E-2</v>
      </c>
    </row>
    <row r="173" spans="1:2" x14ac:dyDescent="0.25">
      <c r="A173" s="71">
        <v>29891</v>
      </c>
      <c r="B173" s="61">
        <v>7.9657000000000006E-2</v>
      </c>
    </row>
    <row r="174" spans="1:2" x14ac:dyDescent="0.25">
      <c r="A174" s="72">
        <v>29921</v>
      </c>
      <c r="B174" s="61">
        <v>8.1800999999999999E-2</v>
      </c>
    </row>
    <row r="175" spans="1:2" x14ac:dyDescent="0.25">
      <c r="A175" s="60">
        <v>29952</v>
      </c>
      <c r="B175" s="61">
        <v>8.5865999999999998E-2</v>
      </c>
    </row>
    <row r="176" spans="1:2" x14ac:dyDescent="0.25">
      <c r="A176" s="62">
        <v>29983</v>
      </c>
      <c r="B176" s="61">
        <v>8.924E-2</v>
      </c>
    </row>
    <row r="177" spans="1:2" x14ac:dyDescent="0.25">
      <c r="A177" s="63">
        <v>30011</v>
      </c>
      <c r="B177" s="61">
        <v>9.2498999999999998E-2</v>
      </c>
    </row>
    <row r="178" spans="1:2" x14ac:dyDescent="0.25">
      <c r="A178" s="64">
        <v>30042</v>
      </c>
      <c r="B178" s="61">
        <v>9.7512000000000001E-2</v>
      </c>
    </row>
    <row r="179" spans="1:2" x14ac:dyDescent="0.25">
      <c r="A179" s="65">
        <v>30072</v>
      </c>
      <c r="B179" s="61">
        <v>0.102993</v>
      </c>
    </row>
    <row r="180" spans="1:2" x14ac:dyDescent="0.25">
      <c r="A180" s="66">
        <v>30103</v>
      </c>
      <c r="B180" s="61">
        <v>0.10795399999999999</v>
      </c>
    </row>
    <row r="181" spans="1:2" x14ac:dyDescent="0.25">
      <c r="A181" s="67">
        <v>30133</v>
      </c>
      <c r="B181" s="61">
        <v>0.11351700000000001</v>
      </c>
    </row>
    <row r="182" spans="1:2" x14ac:dyDescent="0.25">
      <c r="A182" s="68">
        <v>30164</v>
      </c>
      <c r="B182" s="61">
        <v>0.12625600000000001</v>
      </c>
    </row>
    <row r="183" spans="1:2" x14ac:dyDescent="0.25">
      <c r="A183" s="69">
        <v>30195</v>
      </c>
      <c r="B183" s="61">
        <v>0.132995</v>
      </c>
    </row>
    <row r="184" spans="1:2" x14ac:dyDescent="0.25">
      <c r="A184" s="70">
        <v>30225</v>
      </c>
      <c r="B184" s="61">
        <v>0.13988999999999999</v>
      </c>
    </row>
    <row r="185" spans="1:2" x14ac:dyDescent="0.25">
      <c r="A185" s="71">
        <v>30256</v>
      </c>
      <c r="B185" s="61">
        <v>0.14696300000000001</v>
      </c>
    </row>
    <row r="186" spans="1:2" x14ac:dyDescent="0.25">
      <c r="A186" s="72">
        <v>30286</v>
      </c>
      <c r="B186" s="61">
        <v>0.162656</v>
      </c>
    </row>
    <row r="187" spans="1:2" x14ac:dyDescent="0.25">
      <c r="A187" s="60">
        <v>30317</v>
      </c>
      <c r="B187" s="61">
        <v>0.18035499999999999</v>
      </c>
    </row>
    <row r="188" spans="1:2" x14ac:dyDescent="0.25">
      <c r="A188" s="62">
        <v>30348</v>
      </c>
      <c r="B188" s="61">
        <v>0.19003400000000001</v>
      </c>
    </row>
    <row r="189" spans="1:2" x14ac:dyDescent="0.25">
      <c r="A189" s="63">
        <v>30376</v>
      </c>
      <c r="B189" s="61">
        <v>0.19923199999999999</v>
      </c>
    </row>
    <row r="190" spans="1:2" x14ac:dyDescent="0.25">
      <c r="A190" s="64">
        <v>30407</v>
      </c>
      <c r="B190" s="61">
        <v>0.21184600000000001</v>
      </c>
    </row>
    <row r="191" spans="1:2" x14ac:dyDescent="0.25">
      <c r="A191" s="65">
        <v>30437</v>
      </c>
      <c r="B191" s="61">
        <v>0.22103400000000001</v>
      </c>
    </row>
    <row r="192" spans="1:2" x14ac:dyDescent="0.25">
      <c r="A192" s="66">
        <v>30468</v>
      </c>
      <c r="B192" s="61">
        <v>0.229404</v>
      </c>
    </row>
    <row r="193" spans="1:2" x14ac:dyDescent="0.25">
      <c r="A193" s="67">
        <v>30498</v>
      </c>
      <c r="B193" s="61">
        <v>0.24074599999999999</v>
      </c>
    </row>
    <row r="194" spans="1:2" x14ac:dyDescent="0.25">
      <c r="A194" s="68">
        <v>30529</v>
      </c>
      <c r="B194" s="61">
        <v>0.25009100000000001</v>
      </c>
    </row>
    <row r="195" spans="1:2" x14ac:dyDescent="0.25">
      <c r="A195" s="69">
        <v>30560</v>
      </c>
      <c r="B195" s="61">
        <v>0.25778699999999999</v>
      </c>
    </row>
    <row r="196" spans="1:2" x14ac:dyDescent="0.25">
      <c r="A196" s="70">
        <v>30590</v>
      </c>
      <c r="B196" s="61">
        <v>0.26634099999999999</v>
      </c>
    </row>
    <row r="197" spans="1:2" x14ac:dyDescent="0.25">
      <c r="A197" s="71">
        <v>30621</v>
      </c>
      <c r="B197" s="61">
        <v>0.28198299999999998</v>
      </c>
    </row>
    <row r="198" spans="1:2" x14ac:dyDescent="0.25">
      <c r="A198" s="72">
        <v>30651</v>
      </c>
      <c r="B198" s="61">
        <v>0.294047</v>
      </c>
    </row>
    <row r="199" spans="1:2" x14ac:dyDescent="0.25">
      <c r="A199" s="60">
        <v>30682</v>
      </c>
      <c r="B199" s="61">
        <v>0.31272800000000001</v>
      </c>
    </row>
    <row r="200" spans="1:2" x14ac:dyDescent="0.25">
      <c r="A200" s="62">
        <v>30713</v>
      </c>
      <c r="B200" s="61">
        <v>0.32923200000000002</v>
      </c>
    </row>
    <row r="201" spans="1:2" x14ac:dyDescent="0.25">
      <c r="A201" s="63">
        <v>30742</v>
      </c>
      <c r="B201" s="61">
        <v>0.343304</v>
      </c>
    </row>
    <row r="202" spans="1:2" x14ac:dyDescent="0.25">
      <c r="A202" s="64">
        <v>30773</v>
      </c>
      <c r="B202" s="61">
        <v>0.35815599999999997</v>
      </c>
    </row>
    <row r="203" spans="1:2" x14ac:dyDescent="0.25">
      <c r="A203" s="65">
        <v>30803</v>
      </c>
      <c r="B203" s="61">
        <v>0.37003200000000003</v>
      </c>
    </row>
    <row r="204" spans="1:2" x14ac:dyDescent="0.25">
      <c r="A204" s="66">
        <v>30834</v>
      </c>
      <c r="B204" s="61">
        <v>0.38342300000000001</v>
      </c>
    </row>
    <row r="205" spans="1:2" x14ac:dyDescent="0.25">
      <c r="A205" s="67">
        <v>30864</v>
      </c>
      <c r="B205" s="61">
        <v>0.39599299999999998</v>
      </c>
    </row>
    <row r="206" spans="1:2" x14ac:dyDescent="0.25">
      <c r="A206" s="68">
        <v>30895</v>
      </c>
      <c r="B206" s="61">
        <v>0.40724900000000003</v>
      </c>
    </row>
    <row r="207" spans="1:2" x14ac:dyDescent="0.25">
      <c r="A207" s="69">
        <v>30926</v>
      </c>
      <c r="B207" s="61">
        <v>0.41937999999999998</v>
      </c>
    </row>
    <row r="208" spans="1:2" x14ac:dyDescent="0.25">
      <c r="A208" s="70">
        <v>30956</v>
      </c>
      <c r="B208" s="61">
        <v>0.43403399999999998</v>
      </c>
    </row>
    <row r="209" spans="1:2" x14ac:dyDescent="0.25">
      <c r="A209" s="71">
        <v>30987</v>
      </c>
      <c r="B209" s="61">
        <v>0.44892900000000002</v>
      </c>
    </row>
    <row r="210" spans="1:2" x14ac:dyDescent="0.25">
      <c r="A210" s="72">
        <v>31017</v>
      </c>
      <c r="B210" s="61">
        <v>0.46799600000000002</v>
      </c>
    </row>
    <row r="211" spans="1:2" x14ac:dyDescent="0.25">
      <c r="A211" s="60">
        <v>31048</v>
      </c>
      <c r="B211" s="61">
        <v>0.50271100000000002</v>
      </c>
    </row>
    <row r="212" spans="1:2" x14ac:dyDescent="0.25">
      <c r="A212" s="62">
        <v>31079</v>
      </c>
      <c r="B212" s="61">
        <v>0.52359599999999995</v>
      </c>
    </row>
    <row r="213" spans="1:2" x14ac:dyDescent="0.25">
      <c r="A213" s="63">
        <v>31107</v>
      </c>
      <c r="B213" s="61">
        <v>0.54388499999999995</v>
      </c>
    </row>
    <row r="214" spans="1:2" x14ac:dyDescent="0.25">
      <c r="A214" s="64">
        <v>31138</v>
      </c>
      <c r="B214" s="61">
        <v>0.56062100000000004</v>
      </c>
    </row>
    <row r="215" spans="1:2" x14ac:dyDescent="0.25">
      <c r="A215" s="65">
        <v>31168</v>
      </c>
      <c r="B215" s="61">
        <v>0.57390200000000002</v>
      </c>
    </row>
    <row r="216" spans="1:2" x14ac:dyDescent="0.25">
      <c r="A216" s="66">
        <v>31199</v>
      </c>
      <c r="B216" s="61">
        <v>0.58827600000000002</v>
      </c>
    </row>
    <row r="217" spans="1:2" x14ac:dyDescent="0.25">
      <c r="A217" s="67">
        <v>31229</v>
      </c>
      <c r="B217" s="61">
        <v>0.60876300000000005</v>
      </c>
    </row>
    <row r="218" spans="1:2" x14ac:dyDescent="0.25">
      <c r="A218" s="68">
        <v>31260</v>
      </c>
      <c r="B218" s="61">
        <v>0.63537699999999997</v>
      </c>
    </row>
    <row r="219" spans="1:2" x14ac:dyDescent="0.25">
      <c r="A219" s="69">
        <v>31291</v>
      </c>
      <c r="B219" s="61">
        <v>0.66075200000000001</v>
      </c>
    </row>
    <row r="220" spans="1:2" x14ac:dyDescent="0.25">
      <c r="A220" s="70">
        <v>31321</v>
      </c>
      <c r="B220" s="61">
        <v>0.68585200000000002</v>
      </c>
    </row>
    <row r="221" spans="1:2" x14ac:dyDescent="0.25">
      <c r="A221" s="71">
        <v>31352</v>
      </c>
      <c r="B221" s="61">
        <v>0.71749499999999999</v>
      </c>
    </row>
    <row r="222" spans="1:2" x14ac:dyDescent="0.25">
      <c r="A222" s="72">
        <v>31382</v>
      </c>
      <c r="B222" s="61">
        <v>0.76634000000000002</v>
      </c>
    </row>
    <row r="223" spans="1:2" x14ac:dyDescent="0.25">
      <c r="A223" s="60">
        <v>31413</v>
      </c>
      <c r="B223" s="61">
        <v>0.83409199999999994</v>
      </c>
    </row>
    <row r="224" spans="1:2" x14ac:dyDescent="0.25">
      <c r="A224" s="62">
        <v>31444</v>
      </c>
      <c r="B224" s="61">
        <v>0.871174</v>
      </c>
    </row>
    <row r="225" spans="1:2" x14ac:dyDescent="0.25">
      <c r="A225" s="63">
        <v>31472</v>
      </c>
      <c r="B225" s="61">
        <v>0.91166700000000001</v>
      </c>
    </row>
    <row r="226" spans="1:2" x14ac:dyDescent="0.25">
      <c r="A226" s="64">
        <v>31503</v>
      </c>
      <c r="B226" s="61">
        <v>0.95926299999999998</v>
      </c>
    </row>
    <row r="227" spans="1:2" x14ac:dyDescent="0.25">
      <c r="A227" s="65">
        <v>31533</v>
      </c>
      <c r="B227" s="61">
        <v>1.01257</v>
      </c>
    </row>
    <row r="228" spans="1:2" x14ac:dyDescent="0.25">
      <c r="A228" s="66">
        <v>31564</v>
      </c>
      <c r="B228" s="61">
        <v>1.0775669999999999</v>
      </c>
    </row>
    <row r="229" spans="1:2" x14ac:dyDescent="0.25">
      <c r="A229" s="67">
        <v>31594</v>
      </c>
      <c r="B229" s="61">
        <v>1.1313329999999999</v>
      </c>
    </row>
    <row r="230" spans="1:2" x14ac:dyDescent="0.25">
      <c r="A230" s="68">
        <v>31625</v>
      </c>
      <c r="B230" s="61">
        <v>1.2215309999999999</v>
      </c>
    </row>
    <row r="231" spans="1:2" x14ac:dyDescent="0.25">
      <c r="A231" s="69">
        <v>31656</v>
      </c>
      <c r="B231" s="61">
        <v>1.2948120000000001</v>
      </c>
    </row>
    <row r="232" spans="1:2" x14ac:dyDescent="0.25">
      <c r="A232" s="70">
        <v>31686</v>
      </c>
      <c r="B232" s="61">
        <v>1.368824</v>
      </c>
    </row>
    <row r="233" spans="1:2" x14ac:dyDescent="0.25">
      <c r="A233" s="71">
        <v>31717</v>
      </c>
      <c r="B233" s="61">
        <v>1.4613039999999999</v>
      </c>
    </row>
    <row r="234" spans="1:2" x14ac:dyDescent="0.25">
      <c r="A234" s="72">
        <v>31747</v>
      </c>
      <c r="B234" s="61">
        <v>1.576735</v>
      </c>
    </row>
    <row r="235" spans="1:2" x14ac:dyDescent="0.25">
      <c r="A235" s="60">
        <v>31778</v>
      </c>
      <c r="B235" s="61">
        <v>1.7044010000000001</v>
      </c>
    </row>
    <row r="236" spans="1:2" x14ac:dyDescent="0.25">
      <c r="A236" s="62">
        <v>31809</v>
      </c>
      <c r="B236" s="61">
        <v>1.827386</v>
      </c>
    </row>
    <row r="237" spans="1:2" x14ac:dyDescent="0.25">
      <c r="A237" s="63">
        <v>31837</v>
      </c>
      <c r="B237" s="61">
        <v>1.948153</v>
      </c>
    </row>
    <row r="238" spans="1:2" x14ac:dyDescent="0.25">
      <c r="A238" s="64">
        <v>31868</v>
      </c>
      <c r="B238" s="61">
        <v>2.1186060000000002</v>
      </c>
    </row>
    <row r="239" spans="1:2" x14ac:dyDescent="0.25">
      <c r="A239" s="65">
        <v>31898</v>
      </c>
      <c r="B239" s="61">
        <v>2.2783250000000002</v>
      </c>
    </row>
    <row r="240" spans="1:2" x14ac:dyDescent="0.25">
      <c r="A240" s="66">
        <v>31929</v>
      </c>
      <c r="B240" s="61">
        <v>2.443146</v>
      </c>
    </row>
    <row r="241" spans="1:2" x14ac:dyDescent="0.25">
      <c r="A241" s="67">
        <v>31959</v>
      </c>
      <c r="B241" s="61">
        <v>2.641022</v>
      </c>
    </row>
    <row r="242" spans="1:2" x14ac:dyDescent="0.25">
      <c r="A242" s="68">
        <v>31990</v>
      </c>
      <c r="B242" s="61">
        <v>2.8568720000000001</v>
      </c>
    </row>
    <row r="243" spans="1:2" x14ac:dyDescent="0.25">
      <c r="A243" s="69">
        <v>32021</v>
      </c>
      <c r="B243" s="61">
        <v>3.0450810000000001</v>
      </c>
    </row>
    <row r="244" spans="1:2" x14ac:dyDescent="0.25">
      <c r="A244" s="70">
        <v>32051</v>
      </c>
      <c r="B244" s="61">
        <v>3.298845</v>
      </c>
    </row>
    <row r="245" spans="1:2" x14ac:dyDescent="0.25">
      <c r="A245" s="71">
        <v>32082</v>
      </c>
      <c r="B245" s="61">
        <v>3.560511</v>
      </c>
    </row>
    <row r="246" spans="1:2" x14ac:dyDescent="0.25">
      <c r="A246" s="72">
        <v>32112</v>
      </c>
      <c r="B246" s="61">
        <v>4.086392</v>
      </c>
    </row>
    <row r="247" spans="1:2" x14ac:dyDescent="0.25">
      <c r="A247" s="60">
        <v>32143</v>
      </c>
      <c r="B247" s="61">
        <v>4.7182459999999997</v>
      </c>
    </row>
    <row r="248" spans="1:2" x14ac:dyDescent="0.25">
      <c r="A248" s="62">
        <v>32174</v>
      </c>
      <c r="B248" s="61">
        <v>5.111783</v>
      </c>
    </row>
    <row r="249" spans="1:2" x14ac:dyDescent="0.25">
      <c r="A249" s="63">
        <v>32203</v>
      </c>
      <c r="B249" s="61">
        <v>5.3735470000000003</v>
      </c>
    </row>
    <row r="250" spans="1:2" x14ac:dyDescent="0.25">
      <c r="A250" s="64">
        <v>32234</v>
      </c>
      <c r="B250" s="61">
        <v>5.5389410000000003</v>
      </c>
    </row>
    <row r="251" spans="1:2" x14ac:dyDescent="0.25">
      <c r="A251" s="65">
        <v>32264</v>
      </c>
      <c r="B251" s="61">
        <v>5.646109</v>
      </c>
    </row>
    <row r="252" spans="1:2" x14ac:dyDescent="0.25">
      <c r="A252" s="66">
        <v>32295</v>
      </c>
      <c r="B252" s="61">
        <v>5.7612920000000001</v>
      </c>
    </row>
    <row r="253" spans="1:2" x14ac:dyDescent="0.25">
      <c r="A253" s="67">
        <v>32325</v>
      </c>
      <c r="B253" s="61">
        <v>5.8574570000000001</v>
      </c>
    </row>
    <row r="254" spans="1:2" x14ac:dyDescent="0.25">
      <c r="A254" s="68">
        <v>32356</v>
      </c>
      <c r="B254" s="61">
        <v>5.9113429999999996</v>
      </c>
    </row>
    <row r="255" spans="1:2" x14ac:dyDescent="0.25">
      <c r="A255" s="69">
        <v>32387</v>
      </c>
      <c r="B255" s="61">
        <v>5.9451390000000002</v>
      </c>
    </row>
    <row r="256" spans="1:2" x14ac:dyDescent="0.25">
      <c r="A256" s="70">
        <v>32417</v>
      </c>
      <c r="B256" s="61">
        <v>5.9904859999999998</v>
      </c>
    </row>
    <row r="257" spans="1:2" x14ac:dyDescent="0.25">
      <c r="A257" s="71">
        <v>32448</v>
      </c>
      <c r="B257" s="61">
        <v>6.0706540000000002</v>
      </c>
    </row>
    <row r="258" spans="1:2" x14ac:dyDescent="0.25">
      <c r="A258" s="72">
        <v>32478</v>
      </c>
      <c r="B258" s="61">
        <v>6.1973159999999998</v>
      </c>
    </row>
    <row r="259" spans="1:2" x14ac:dyDescent="0.25">
      <c r="A259" s="60">
        <v>32509</v>
      </c>
      <c r="B259" s="61">
        <v>6.349024</v>
      </c>
    </row>
    <row r="260" spans="1:2" x14ac:dyDescent="0.25">
      <c r="A260" s="62">
        <v>32540</v>
      </c>
      <c r="B260" s="61">
        <v>6.4351839999999996</v>
      </c>
    </row>
    <row r="261" spans="1:2" x14ac:dyDescent="0.25">
      <c r="A261" s="63">
        <v>32568</v>
      </c>
      <c r="B261" s="61">
        <v>6.5049450000000002</v>
      </c>
    </row>
    <row r="262" spans="1:2" x14ac:dyDescent="0.25">
      <c r="A262" s="64">
        <v>32599</v>
      </c>
      <c r="B262" s="61">
        <v>6.6022239999999996</v>
      </c>
    </row>
    <row r="263" spans="1:2" x14ac:dyDescent="0.25">
      <c r="A263" s="65">
        <v>32629</v>
      </c>
      <c r="B263" s="61">
        <v>6.6930990000000001</v>
      </c>
    </row>
    <row r="264" spans="1:2" x14ac:dyDescent="0.25">
      <c r="A264" s="66">
        <v>32660</v>
      </c>
      <c r="B264" s="61">
        <v>6.7743849999999997</v>
      </c>
    </row>
    <row r="265" spans="1:2" x14ac:dyDescent="0.25">
      <c r="A265" s="67">
        <v>32690</v>
      </c>
      <c r="B265" s="61">
        <v>6.8421479999999999</v>
      </c>
    </row>
    <row r="266" spans="1:2" x14ac:dyDescent="0.25">
      <c r="A266" s="68">
        <v>32721</v>
      </c>
      <c r="B266" s="61">
        <v>6.9073330000000004</v>
      </c>
    </row>
    <row r="267" spans="1:2" x14ac:dyDescent="0.25">
      <c r="A267" s="69">
        <v>32752</v>
      </c>
      <c r="B267" s="61">
        <v>6.9733929999999997</v>
      </c>
    </row>
    <row r="268" spans="1:2" x14ac:dyDescent="0.25">
      <c r="A268" s="70">
        <v>32782</v>
      </c>
      <c r="B268" s="61">
        <v>7.0765250000000002</v>
      </c>
    </row>
    <row r="269" spans="1:2" x14ac:dyDescent="0.25">
      <c r="A269" s="71">
        <v>32813</v>
      </c>
      <c r="B269" s="61">
        <v>7.1758550000000003</v>
      </c>
    </row>
    <row r="270" spans="1:2" x14ac:dyDescent="0.25">
      <c r="A270" s="72">
        <v>32843</v>
      </c>
      <c r="B270" s="61">
        <v>7.4180299999999999</v>
      </c>
    </row>
    <row r="271" spans="1:2" x14ac:dyDescent="0.25">
      <c r="A271" s="60">
        <v>32874</v>
      </c>
      <c r="B271" s="61">
        <v>7.7760369999999996</v>
      </c>
    </row>
    <row r="272" spans="1:2" x14ac:dyDescent="0.25">
      <c r="A272" s="62">
        <v>32905</v>
      </c>
      <c r="B272" s="61">
        <v>7.9521199999999999</v>
      </c>
    </row>
    <row r="273" spans="1:2" x14ac:dyDescent="0.25">
      <c r="A273" s="63">
        <v>32933</v>
      </c>
      <c r="B273" s="61">
        <v>8.0923099999999994</v>
      </c>
    </row>
    <row r="274" spans="1:2" x14ac:dyDescent="0.25">
      <c r="A274" s="64">
        <v>32964</v>
      </c>
      <c r="B274" s="61">
        <v>8.2154720000000001</v>
      </c>
    </row>
    <row r="275" spans="1:2" x14ac:dyDescent="0.25">
      <c r="A275" s="65">
        <v>32994</v>
      </c>
      <c r="B275" s="61">
        <v>8.3588380000000004</v>
      </c>
    </row>
    <row r="276" spans="1:2" x14ac:dyDescent="0.25">
      <c r="A276" s="66">
        <v>33025</v>
      </c>
      <c r="B276" s="61">
        <v>8.5429390000000005</v>
      </c>
    </row>
    <row r="277" spans="1:2" x14ac:dyDescent="0.25">
      <c r="A277" s="67">
        <v>33055</v>
      </c>
      <c r="B277" s="61">
        <v>8.6987349999999992</v>
      </c>
    </row>
    <row r="278" spans="1:2" x14ac:dyDescent="0.25">
      <c r="A278" s="68">
        <v>33086</v>
      </c>
      <c r="B278" s="61">
        <v>8.8469499999999996</v>
      </c>
    </row>
    <row r="279" spans="1:2" x14ac:dyDescent="0.25">
      <c r="A279" s="69">
        <v>33117</v>
      </c>
      <c r="B279" s="61">
        <v>8.9730609999999995</v>
      </c>
    </row>
    <row r="280" spans="1:2" x14ac:dyDescent="0.25">
      <c r="A280" s="70">
        <v>33147</v>
      </c>
      <c r="B280" s="61">
        <v>9.1020599999999998</v>
      </c>
    </row>
    <row r="281" spans="1:2" x14ac:dyDescent="0.25">
      <c r="A281" s="71">
        <v>33178</v>
      </c>
      <c r="B281" s="61">
        <v>9.3437230000000007</v>
      </c>
    </row>
    <row r="282" spans="1:2" x14ac:dyDescent="0.25">
      <c r="A282" s="72">
        <v>33208</v>
      </c>
      <c r="B282" s="61">
        <v>9.6382139999999996</v>
      </c>
    </row>
    <row r="283" spans="1:2" x14ac:dyDescent="0.25">
      <c r="A283" s="60">
        <v>33239</v>
      </c>
      <c r="B283" s="61">
        <v>9.8838799999999996</v>
      </c>
    </row>
    <row r="284" spans="1:2" x14ac:dyDescent="0.25">
      <c r="A284" s="62">
        <v>33270</v>
      </c>
      <c r="B284" s="61">
        <v>10.056425000000001</v>
      </c>
    </row>
    <row r="285" spans="1:2" x14ac:dyDescent="0.25">
      <c r="A285" s="63">
        <v>33298</v>
      </c>
      <c r="B285" s="61">
        <v>10.19984</v>
      </c>
    </row>
    <row r="286" spans="1:2" x14ac:dyDescent="0.25">
      <c r="A286" s="64">
        <v>33329</v>
      </c>
      <c r="B286" s="61">
        <v>10.306687999999999</v>
      </c>
    </row>
    <row r="287" spans="1:2" x14ac:dyDescent="0.25">
      <c r="A287" s="65">
        <v>33359</v>
      </c>
      <c r="B287" s="61">
        <v>10.407442</v>
      </c>
    </row>
    <row r="288" spans="1:2" x14ac:dyDescent="0.25">
      <c r="A288" s="66">
        <v>33390</v>
      </c>
      <c r="B288" s="61">
        <v>10.516648</v>
      </c>
    </row>
    <row r="289" spans="1:2" x14ac:dyDescent="0.25">
      <c r="A289" s="67">
        <v>33420</v>
      </c>
      <c r="B289" s="61">
        <v>10.609584</v>
      </c>
    </row>
    <row r="290" spans="1:2" x14ac:dyDescent="0.25">
      <c r="A290" s="68">
        <v>33451</v>
      </c>
      <c r="B290" s="61">
        <v>10.683422999999999</v>
      </c>
    </row>
    <row r="291" spans="1:2" x14ac:dyDescent="0.25">
      <c r="A291" s="69">
        <v>33482</v>
      </c>
      <c r="B291" s="61">
        <v>10.789849999999999</v>
      </c>
    </row>
    <row r="292" spans="1:2" x14ac:dyDescent="0.25">
      <c r="A292" s="70">
        <v>33512</v>
      </c>
      <c r="B292" s="61">
        <v>10.915343</v>
      </c>
    </row>
    <row r="293" spans="1:2" x14ac:dyDescent="0.25">
      <c r="A293" s="71">
        <v>33543</v>
      </c>
      <c r="B293" s="61">
        <v>11.186374000000001</v>
      </c>
    </row>
    <row r="294" spans="1:2" x14ac:dyDescent="0.25">
      <c r="A294" s="72">
        <v>33573</v>
      </c>
      <c r="B294" s="61">
        <v>11.449680000000001</v>
      </c>
    </row>
    <row r="295" spans="1:2" x14ac:dyDescent="0.25">
      <c r="A295" s="60">
        <v>33604</v>
      </c>
      <c r="B295" s="61">
        <v>11.657778</v>
      </c>
    </row>
    <row r="296" spans="1:2" x14ac:dyDescent="0.25">
      <c r="A296" s="62">
        <v>33635</v>
      </c>
      <c r="B296" s="61">
        <v>11.7959</v>
      </c>
    </row>
    <row r="297" spans="1:2" x14ac:dyDescent="0.25">
      <c r="A297" s="63">
        <v>33664</v>
      </c>
      <c r="B297" s="61">
        <v>11.915948</v>
      </c>
    </row>
    <row r="298" spans="1:2" x14ac:dyDescent="0.25">
      <c r="A298" s="64">
        <v>33695</v>
      </c>
      <c r="B298" s="61">
        <v>12.022171</v>
      </c>
    </row>
    <row r="299" spans="1:2" x14ac:dyDescent="0.25">
      <c r="A299" s="65">
        <v>33725</v>
      </c>
      <c r="B299" s="61">
        <v>12.101438</v>
      </c>
    </row>
    <row r="300" spans="1:2" x14ac:dyDescent="0.25">
      <c r="A300" s="66">
        <v>33756</v>
      </c>
      <c r="B300" s="61">
        <v>12.183344999999999</v>
      </c>
    </row>
    <row r="301" spans="1:2" x14ac:dyDescent="0.25">
      <c r="A301" s="67">
        <v>33786</v>
      </c>
      <c r="B301" s="61">
        <v>12.260272000000001</v>
      </c>
    </row>
    <row r="302" spans="1:2" x14ac:dyDescent="0.25">
      <c r="A302" s="68">
        <v>33817</v>
      </c>
      <c r="B302" s="61">
        <v>12.335592</v>
      </c>
    </row>
    <row r="303" spans="1:2" x14ac:dyDescent="0.25">
      <c r="A303" s="69">
        <v>33848</v>
      </c>
      <c r="B303" s="61">
        <v>12.442897</v>
      </c>
    </row>
    <row r="304" spans="1:2" x14ac:dyDescent="0.25">
      <c r="A304" s="70">
        <v>33878</v>
      </c>
      <c r="B304" s="61">
        <v>12.532494</v>
      </c>
    </row>
    <row r="305" spans="1:2" x14ac:dyDescent="0.25">
      <c r="A305" s="71">
        <v>33909</v>
      </c>
      <c r="B305" s="61">
        <v>12.636620000000001</v>
      </c>
    </row>
    <row r="306" spans="1:2" x14ac:dyDescent="0.25">
      <c r="A306" s="72">
        <v>33939</v>
      </c>
      <c r="B306" s="61">
        <v>12.816553000000001</v>
      </c>
    </row>
    <row r="307" spans="1:2" x14ac:dyDescent="0.25">
      <c r="A307" s="60">
        <v>33970</v>
      </c>
      <c r="B307" s="61">
        <v>12.977320000000001</v>
      </c>
    </row>
    <row r="308" spans="1:2" x14ac:dyDescent="0.25">
      <c r="A308" s="62">
        <v>34001</v>
      </c>
      <c r="B308" s="61">
        <v>13.083345</v>
      </c>
    </row>
    <row r="309" spans="1:2" x14ac:dyDescent="0.25">
      <c r="A309" s="63">
        <v>34029</v>
      </c>
      <c r="B309" s="61">
        <v>13.159594</v>
      </c>
    </row>
    <row r="310" spans="1:2" x14ac:dyDescent="0.25">
      <c r="A310" s="64">
        <v>34060</v>
      </c>
      <c r="B310" s="61">
        <v>13.235480000000001</v>
      </c>
    </row>
    <row r="311" spans="1:2" x14ac:dyDescent="0.25">
      <c r="A311" s="65">
        <v>34090</v>
      </c>
      <c r="B311" s="61">
        <v>13.311137</v>
      </c>
    </row>
    <row r="312" spans="1:2" x14ac:dyDescent="0.25">
      <c r="A312" s="66">
        <v>34121</v>
      </c>
      <c r="B312" s="61">
        <v>13.385797</v>
      </c>
    </row>
    <row r="313" spans="1:2" x14ac:dyDescent="0.25">
      <c r="A313" s="67">
        <v>34151</v>
      </c>
      <c r="B313" s="61">
        <v>13.450123</v>
      </c>
    </row>
    <row r="314" spans="1:2" x14ac:dyDescent="0.25">
      <c r="A314" s="68">
        <v>34182</v>
      </c>
      <c r="B314" s="61">
        <v>13.522112</v>
      </c>
    </row>
    <row r="315" spans="1:2" x14ac:dyDescent="0.25">
      <c r="A315" s="69">
        <v>34213</v>
      </c>
      <c r="B315" s="61">
        <v>13.622261</v>
      </c>
    </row>
    <row r="316" spans="1:2" x14ac:dyDescent="0.25">
      <c r="A316" s="70">
        <v>34243</v>
      </c>
      <c r="B316" s="61">
        <v>13.677973</v>
      </c>
    </row>
    <row r="317" spans="1:2" x14ac:dyDescent="0.25">
      <c r="A317" s="71">
        <v>34274</v>
      </c>
      <c r="B317" s="61">
        <v>13.738301999999999</v>
      </c>
    </row>
    <row r="318" spans="1:2" x14ac:dyDescent="0.25">
      <c r="A318" s="72">
        <v>34304</v>
      </c>
      <c r="B318" s="61">
        <v>13.843055</v>
      </c>
    </row>
    <row r="319" spans="1:2" x14ac:dyDescent="0.25">
      <c r="A319" s="60">
        <v>34335</v>
      </c>
      <c r="B319" s="61">
        <v>13.950374999999999</v>
      </c>
    </row>
    <row r="320" spans="1:2" x14ac:dyDescent="0.25">
      <c r="A320" s="62">
        <v>34366</v>
      </c>
      <c r="B320" s="61">
        <v>14.022124</v>
      </c>
    </row>
    <row r="321" spans="1:2" x14ac:dyDescent="0.25">
      <c r="A321" s="63">
        <v>34394</v>
      </c>
      <c r="B321" s="61">
        <v>14.094225</v>
      </c>
    </row>
    <row r="322" spans="1:2" x14ac:dyDescent="0.25">
      <c r="A322" s="64">
        <v>34425</v>
      </c>
      <c r="B322" s="61">
        <v>14.163251000000001</v>
      </c>
    </row>
    <row r="323" spans="1:2" x14ac:dyDescent="0.25">
      <c r="A323" s="65">
        <v>34455</v>
      </c>
      <c r="B323" s="61">
        <v>14.231681999999999</v>
      </c>
    </row>
    <row r="324" spans="1:2" x14ac:dyDescent="0.25">
      <c r="A324" s="66">
        <v>34486</v>
      </c>
      <c r="B324" s="61">
        <v>14.302894999999999</v>
      </c>
    </row>
    <row r="325" spans="1:2" x14ac:dyDescent="0.25">
      <c r="A325" s="67">
        <v>34516</v>
      </c>
      <c r="B325" s="61">
        <v>14.366327</v>
      </c>
    </row>
    <row r="326" spans="1:2" x14ac:dyDescent="0.25">
      <c r="A326" s="68">
        <v>34547</v>
      </c>
      <c r="B326" s="61">
        <v>14.433287</v>
      </c>
    </row>
    <row r="327" spans="1:2" x14ac:dyDescent="0.25">
      <c r="A327" s="69">
        <v>34578</v>
      </c>
      <c r="B327" s="61">
        <v>14.535937000000001</v>
      </c>
    </row>
    <row r="328" spans="1:2" x14ac:dyDescent="0.25">
      <c r="A328" s="70">
        <v>34608</v>
      </c>
      <c r="B328" s="61">
        <v>14.612245</v>
      </c>
    </row>
    <row r="329" spans="1:2" x14ac:dyDescent="0.25">
      <c r="A329" s="71">
        <v>34639</v>
      </c>
      <c r="B329" s="61">
        <v>14.690360999999999</v>
      </c>
    </row>
    <row r="330" spans="1:2" x14ac:dyDescent="0.25">
      <c r="A330" s="72">
        <v>34669</v>
      </c>
      <c r="B330" s="61">
        <v>14.819203999999999</v>
      </c>
    </row>
    <row r="331" spans="1:2" x14ac:dyDescent="0.25">
      <c r="A331" s="60">
        <v>34700</v>
      </c>
      <c r="B331" s="61">
        <v>15.376991</v>
      </c>
    </row>
    <row r="332" spans="1:2" x14ac:dyDescent="0.25">
      <c r="A332" s="62">
        <v>34731</v>
      </c>
      <c r="B332" s="61">
        <v>16.028707000000001</v>
      </c>
    </row>
    <row r="333" spans="1:2" x14ac:dyDescent="0.25">
      <c r="A333" s="63">
        <v>34759</v>
      </c>
      <c r="B333" s="61">
        <v>16.973617000000001</v>
      </c>
    </row>
    <row r="334" spans="1:2" x14ac:dyDescent="0.25">
      <c r="A334" s="64">
        <v>34790</v>
      </c>
      <c r="B334" s="61">
        <v>18.326132999999999</v>
      </c>
    </row>
    <row r="335" spans="1:2" x14ac:dyDescent="0.25">
      <c r="A335" s="65">
        <v>34820</v>
      </c>
      <c r="B335" s="61">
        <v>19.092089999999999</v>
      </c>
    </row>
    <row r="336" spans="1:2" x14ac:dyDescent="0.25">
      <c r="A336" s="66">
        <v>34851</v>
      </c>
      <c r="B336" s="61">
        <v>19.698024</v>
      </c>
    </row>
    <row r="337" spans="1:2" x14ac:dyDescent="0.25">
      <c r="A337" s="67">
        <v>34881</v>
      </c>
      <c r="B337" s="61">
        <v>20.099588000000001</v>
      </c>
    </row>
    <row r="338" spans="1:2" x14ac:dyDescent="0.25">
      <c r="A338" s="68">
        <v>34912</v>
      </c>
      <c r="B338" s="61">
        <v>20.432981000000002</v>
      </c>
    </row>
    <row r="339" spans="1:2" x14ac:dyDescent="0.25">
      <c r="A339" s="69">
        <v>34943</v>
      </c>
      <c r="B339" s="61">
        <v>20.855643000000001</v>
      </c>
    </row>
    <row r="340" spans="1:2" x14ac:dyDescent="0.25">
      <c r="A340" s="70">
        <v>34973</v>
      </c>
      <c r="B340" s="61">
        <v>21.284762000000001</v>
      </c>
    </row>
    <row r="341" spans="1:2" x14ac:dyDescent="0.25">
      <c r="A341" s="71">
        <v>35004</v>
      </c>
      <c r="B341" s="61">
        <v>21.809608000000001</v>
      </c>
    </row>
    <row r="342" spans="1:2" x14ac:dyDescent="0.25">
      <c r="A342" s="72">
        <v>35034</v>
      </c>
      <c r="B342" s="61">
        <v>22.520167000000001</v>
      </c>
    </row>
    <row r="343" spans="1:2" x14ac:dyDescent="0.25">
      <c r="A343" s="60">
        <v>35065</v>
      </c>
      <c r="B343" s="61">
        <v>23.329754000000001</v>
      </c>
    </row>
    <row r="344" spans="1:2" x14ac:dyDescent="0.25">
      <c r="A344" s="62">
        <v>35096</v>
      </c>
      <c r="B344" s="61">
        <v>23.874262000000002</v>
      </c>
    </row>
    <row r="345" spans="1:2" x14ac:dyDescent="0.25">
      <c r="A345" s="63">
        <v>35125</v>
      </c>
      <c r="B345" s="61">
        <v>24.399826000000001</v>
      </c>
    </row>
    <row r="346" spans="1:2" x14ac:dyDescent="0.25">
      <c r="A346" s="64">
        <v>35156</v>
      </c>
      <c r="B346" s="61">
        <v>25.093450000000001</v>
      </c>
    </row>
    <row r="347" spans="1:2" x14ac:dyDescent="0.25">
      <c r="A347" s="65">
        <v>35186</v>
      </c>
      <c r="B347" s="61">
        <v>25.550841999999999</v>
      </c>
    </row>
    <row r="348" spans="1:2" x14ac:dyDescent="0.25">
      <c r="A348" s="66">
        <v>35217</v>
      </c>
      <c r="B348" s="61">
        <v>25.966902000000001</v>
      </c>
    </row>
    <row r="349" spans="1:2" x14ac:dyDescent="0.25">
      <c r="A349" s="67">
        <v>35247</v>
      </c>
      <c r="B349" s="61">
        <v>26.336030999999998</v>
      </c>
    </row>
    <row r="350" spans="1:2" x14ac:dyDescent="0.25">
      <c r="A350" s="68">
        <v>35278</v>
      </c>
      <c r="B350" s="61">
        <v>26.686071999999999</v>
      </c>
    </row>
    <row r="351" spans="1:2" x14ac:dyDescent="0.25">
      <c r="A351" s="69">
        <v>35309</v>
      </c>
      <c r="B351" s="61">
        <v>27.112750999999999</v>
      </c>
    </row>
    <row r="352" spans="1:2" x14ac:dyDescent="0.25">
      <c r="A352" s="70">
        <v>35339</v>
      </c>
      <c r="B352" s="61">
        <v>27.451167999999999</v>
      </c>
    </row>
    <row r="353" spans="1:2" x14ac:dyDescent="0.25">
      <c r="A353" s="71">
        <v>35370</v>
      </c>
      <c r="B353" s="61">
        <v>27.867083000000001</v>
      </c>
    </row>
    <row r="354" spans="1:2" x14ac:dyDescent="0.25">
      <c r="A354" s="72">
        <v>35400</v>
      </c>
      <c r="B354" s="61">
        <v>28.759336000000001</v>
      </c>
    </row>
    <row r="355" spans="1:2" x14ac:dyDescent="0.25">
      <c r="A355" s="60">
        <v>35431</v>
      </c>
      <c r="B355" s="61">
        <v>29.498885999999999</v>
      </c>
    </row>
    <row r="356" spans="1:2" x14ac:dyDescent="0.25">
      <c r="A356" s="62">
        <v>35462</v>
      </c>
      <c r="B356" s="61">
        <v>29.994598</v>
      </c>
    </row>
    <row r="357" spans="1:2" x14ac:dyDescent="0.25">
      <c r="A357" s="63">
        <v>35490</v>
      </c>
      <c r="B357" s="61">
        <v>30.367889000000002</v>
      </c>
    </row>
    <row r="358" spans="1:2" x14ac:dyDescent="0.25">
      <c r="A358" s="64">
        <v>35521</v>
      </c>
      <c r="B358" s="61">
        <v>30.695972000000001</v>
      </c>
    </row>
    <row r="359" spans="1:2" x14ac:dyDescent="0.25">
      <c r="A359" s="65">
        <v>35551</v>
      </c>
      <c r="B359" s="61">
        <v>30.976119000000001</v>
      </c>
    </row>
    <row r="360" spans="1:2" x14ac:dyDescent="0.25">
      <c r="A360" s="66">
        <v>35582</v>
      </c>
      <c r="B360" s="61">
        <v>31.250957</v>
      </c>
    </row>
    <row r="361" spans="1:2" x14ac:dyDescent="0.25">
      <c r="A361" s="67">
        <v>35612</v>
      </c>
      <c r="B361" s="61">
        <v>31.523211</v>
      </c>
    </row>
    <row r="362" spans="1:2" x14ac:dyDescent="0.25">
      <c r="A362" s="68">
        <v>35643</v>
      </c>
      <c r="B362" s="61">
        <v>31.803502000000002</v>
      </c>
    </row>
    <row r="363" spans="1:2" x14ac:dyDescent="0.25">
      <c r="A363" s="69">
        <v>35674</v>
      </c>
      <c r="B363" s="61">
        <v>32.199612999999999</v>
      </c>
    </row>
    <row r="364" spans="1:2" x14ac:dyDescent="0.25">
      <c r="A364" s="70">
        <v>35704</v>
      </c>
      <c r="B364" s="61">
        <v>32.456941</v>
      </c>
    </row>
    <row r="365" spans="1:2" x14ac:dyDescent="0.25">
      <c r="A365" s="71">
        <v>35735</v>
      </c>
      <c r="B365" s="61">
        <v>32.820042000000001</v>
      </c>
    </row>
    <row r="366" spans="1:2" x14ac:dyDescent="0.25">
      <c r="A366" s="72">
        <v>35765</v>
      </c>
      <c r="B366" s="61">
        <v>33.279874999999997</v>
      </c>
    </row>
    <row r="367" spans="1:2" x14ac:dyDescent="0.25">
      <c r="A367" s="60">
        <v>35796</v>
      </c>
      <c r="B367" s="61">
        <v>34.003923999999998</v>
      </c>
    </row>
    <row r="368" spans="1:2" x14ac:dyDescent="0.25">
      <c r="A368" s="62">
        <v>35827</v>
      </c>
      <c r="B368" s="61">
        <v>34.599238</v>
      </c>
    </row>
    <row r="369" spans="1:2" x14ac:dyDescent="0.25">
      <c r="A369" s="63">
        <v>35855</v>
      </c>
      <c r="B369" s="61">
        <v>35.004533000000002</v>
      </c>
    </row>
    <row r="370" spans="1:2" x14ac:dyDescent="0.25">
      <c r="A370" s="64">
        <v>35886</v>
      </c>
      <c r="B370" s="61">
        <v>35.332042000000001</v>
      </c>
    </row>
    <row r="371" spans="1:2" x14ac:dyDescent="0.25">
      <c r="A371" s="65">
        <v>35916</v>
      </c>
      <c r="B371" s="61">
        <v>35.613481</v>
      </c>
    </row>
    <row r="372" spans="1:2" x14ac:dyDescent="0.25">
      <c r="A372" s="66">
        <v>35947</v>
      </c>
      <c r="B372" s="61">
        <v>36.034419999999997</v>
      </c>
    </row>
    <row r="373" spans="1:2" x14ac:dyDescent="0.25">
      <c r="A373" s="67">
        <v>35977</v>
      </c>
      <c r="B373" s="61">
        <v>36.381878</v>
      </c>
    </row>
    <row r="374" spans="1:2" x14ac:dyDescent="0.25">
      <c r="A374" s="68">
        <v>36008</v>
      </c>
      <c r="B374" s="61">
        <v>36.731631999999998</v>
      </c>
    </row>
    <row r="375" spans="1:2" x14ac:dyDescent="0.25">
      <c r="A375" s="69">
        <v>36039</v>
      </c>
      <c r="B375" s="61">
        <v>37.327376000000001</v>
      </c>
    </row>
    <row r="376" spans="1:2" x14ac:dyDescent="0.25">
      <c r="A376" s="70">
        <v>36069</v>
      </c>
      <c r="B376" s="61">
        <v>37.862268999999998</v>
      </c>
    </row>
    <row r="377" spans="1:2" x14ac:dyDescent="0.25">
      <c r="A377" s="71">
        <v>36100</v>
      </c>
      <c r="B377" s="61">
        <v>38.532786000000002</v>
      </c>
    </row>
    <row r="378" spans="1:2" x14ac:dyDescent="0.25">
      <c r="A378" s="72">
        <v>36130</v>
      </c>
      <c r="B378" s="61">
        <v>39.472974000000001</v>
      </c>
    </row>
    <row r="379" spans="1:2" x14ac:dyDescent="0.25">
      <c r="A379" s="60">
        <v>36161</v>
      </c>
      <c r="B379" s="61">
        <v>40.469769999999997</v>
      </c>
    </row>
    <row r="380" spans="1:2" x14ac:dyDescent="0.25">
      <c r="A380" s="62">
        <v>36192</v>
      </c>
      <c r="B380" s="61">
        <v>41.013643000000002</v>
      </c>
    </row>
    <row r="381" spans="1:2" x14ac:dyDescent="0.25">
      <c r="A381" s="63">
        <v>36220</v>
      </c>
      <c r="B381" s="61">
        <v>41.394683999999998</v>
      </c>
    </row>
    <row r="382" spans="1:2" x14ac:dyDescent="0.25">
      <c r="A382" s="64">
        <v>36251</v>
      </c>
      <c r="B382" s="61">
        <v>41.774577000000001</v>
      </c>
    </row>
    <row r="383" spans="1:2" x14ac:dyDescent="0.25">
      <c r="A383" s="65">
        <v>36281</v>
      </c>
      <c r="B383" s="61">
        <v>42.025877000000001</v>
      </c>
    </row>
    <row r="384" spans="1:2" x14ac:dyDescent="0.25">
      <c r="A384" s="66">
        <v>36312</v>
      </c>
      <c r="B384" s="61">
        <v>42.302005999999999</v>
      </c>
    </row>
    <row r="385" spans="1:2" x14ac:dyDescent="0.25">
      <c r="A385" s="67">
        <v>36342</v>
      </c>
      <c r="B385" s="61">
        <v>42.581580000000002</v>
      </c>
    </row>
    <row r="386" spans="1:2" x14ac:dyDescent="0.25">
      <c r="A386" s="68">
        <v>36373</v>
      </c>
      <c r="B386" s="61">
        <v>42.821255000000001</v>
      </c>
    </row>
    <row r="387" spans="1:2" x14ac:dyDescent="0.25">
      <c r="A387" s="69">
        <v>36404</v>
      </c>
      <c r="B387" s="61">
        <v>43.235017999999997</v>
      </c>
    </row>
    <row r="388" spans="1:2" x14ac:dyDescent="0.25">
      <c r="A388" s="70">
        <v>36434</v>
      </c>
      <c r="B388" s="61">
        <v>43.508851</v>
      </c>
    </row>
    <row r="389" spans="1:2" x14ac:dyDescent="0.25">
      <c r="A389" s="71">
        <v>36465</v>
      </c>
      <c r="B389" s="61">
        <v>43.895775999999998</v>
      </c>
    </row>
    <row r="390" spans="1:2" x14ac:dyDescent="0.25">
      <c r="A390" s="72">
        <v>36495</v>
      </c>
      <c r="B390" s="61">
        <v>44.335515999999998</v>
      </c>
    </row>
    <row r="391" spans="1:2" x14ac:dyDescent="0.25">
      <c r="A391" s="60">
        <v>36526</v>
      </c>
      <c r="B391" s="61">
        <v>44.93083</v>
      </c>
    </row>
    <row r="392" spans="1:2" x14ac:dyDescent="0.25">
      <c r="A392" s="62">
        <v>36557</v>
      </c>
      <c r="B392" s="61">
        <v>45.32938</v>
      </c>
    </row>
    <row r="393" spans="1:2" x14ac:dyDescent="0.25">
      <c r="A393" s="63">
        <v>36586</v>
      </c>
      <c r="B393" s="61">
        <v>45.580680999999998</v>
      </c>
    </row>
    <row r="394" spans="1:2" x14ac:dyDescent="0.25">
      <c r="A394" s="64">
        <v>36617</v>
      </c>
      <c r="B394" s="61">
        <v>45.840018000000001</v>
      </c>
    </row>
    <row r="395" spans="1:2" x14ac:dyDescent="0.25">
      <c r="A395" s="65">
        <v>36647</v>
      </c>
      <c r="B395" s="61">
        <v>46.011378999999998</v>
      </c>
    </row>
    <row r="396" spans="1:2" x14ac:dyDescent="0.25">
      <c r="A396" s="66">
        <v>36678</v>
      </c>
      <c r="B396" s="61">
        <v>46.283920000000002</v>
      </c>
    </row>
    <row r="397" spans="1:2" x14ac:dyDescent="0.25">
      <c r="A397" s="67">
        <v>36708</v>
      </c>
      <c r="B397" s="61">
        <v>46.464466000000002</v>
      </c>
    </row>
    <row r="398" spans="1:2" x14ac:dyDescent="0.25">
      <c r="A398" s="68">
        <v>36739</v>
      </c>
      <c r="B398" s="61">
        <v>46.719785000000002</v>
      </c>
    </row>
    <row r="399" spans="1:2" x14ac:dyDescent="0.25">
      <c r="A399" s="69">
        <v>36770</v>
      </c>
      <c r="B399" s="61">
        <v>47.061072000000003</v>
      </c>
    </row>
    <row r="400" spans="1:2" x14ac:dyDescent="0.25">
      <c r="A400" s="70">
        <v>36800</v>
      </c>
      <c r="B400" s="61">
        <v>47.385136000000003</v>
      </c>
    </row>
    <row r="401" spans="1:2" x14ac:dyDescent="0.25">
      <c r="A401" s="71">
        <v>36831</v>
      </c>
      <c r="B401" s="61">
        <v>47.790287999999997</v>
      </c>
    </row>
    <row r="402" spans="1:2" x14ac:dyDescent="0.25">
      <c r="A402" s="72">
        <v>36861</v>
      </c>
      <c r="B402" s="61">
        <v>48.307670999999999</v>
      </c>
    </row>
    <row r="403" spans="1:2" x14ac:dyDescent="0.25">
      <c r="A403" s="60">
        <v>36892</v>
      </c>
      <c r="B403" s="61">
        <v>48.575476000000002</v>
      </c>
    </row>
    <row r="404" spans="1:2" x14ac:dyDescent="0.25">
      <c r="A404" s="62">
        <v>36923</v>
      </c>
      <c r="B404" s="61">
        <v>48.543328000000002</v>
      </c>
    </row>
    <row r="405" spans="1:2" x14ac:dyDescent="0.25">
      <c r="A405" s="63">
        <v>36951</v>
      </c>
      <c r="B405" s="61">
        <v>48.850887999999998</v>
      </c>
    </row>
    <row r="406" spans="1:2" x14ac:dyDescent="0.25">
      <c r="A406" s="64">
        <v>36982</v>
      </c>
      <c r="B406" s="61">
        <v>49.097309000000003</v>
      </c>
    </row>
    <row r="407" spans="1:2" x14ac:dyDescent="0.25">
      <c r="A407" s="65">
        <v>37012</v>
      </c>
      <c r="B407" s="61">
        <v>49.209969999999998</v>
      </c>
    </row>
    <row r="408" spans="1:2" x14ac:dyDescent="0.25">
      <c r="A408" s="66">
        <v>37043</v>
      </c>
      <c r="B408" s="61">
        <v>49.326363999999998</v>
      </c>
    </row>
    <row r="409" spans="1:2" x14ac:dyDescent="0.25">
      <c r="A409" s="67">
        <v>37073</v>
      </c>
      <c r="B409" s="61">
        <v>49.198202000000002</v>
      </c>
    </row>
    <row r="410" spans="1:2" x14ac:dyDescent="0.25">
      <c r="A410" s="68">
        <v>37104</v>
      </c>
      <c r="B410" s="61">
        <v>49.489688000000001</v>
      </c>
    </row>
    <row r="411" spans="1:2" x14ac:dyDescent="0.25">
      <c r="A411" s="69">
        <v>37135</v>
      </c>
      <c r="B411" s="61">
        <v>49.950381</v>
      </c>
    </row>
    <row r="412" spans="1:2" x14ac:dyDescent="0.25">
      <c r="A412" s="70">
        <v>37165</v>
      </c>
      <c r="B412" s="61">
        <v>50.176135000000002</v>
      </c>
    </row>
    <row r="413" spans="1:2" x14ac:dyDescent="0.25">
      <c r="A413" s="71">
        <v>37196</v>
      </c>
      <c r="B413" s="61">
        <v>50.365149000000002</v>
      </c>
    </row>
    <row r="414" spans="1:2" x14ac:dyDescent="0.25">
      <c r="A414" s="72">
        <v>37226</v>
      </c>
      <c r="B414" s="61">
        <v>50.434899000000001</v>
      </c>
    </row>
    <row r="415" spans="1:2" x14ac:dyDescent="0.25">
      <c r="A415" s="60">
        <v>37257</v>
      </c>
      <c r="B415" s="61">
        <v>50.900472000000001</v>
      </c>
    </row>
    <row r="416" spans="1:2" x14ac:dyDescent="0.25">
      <c r="A416" s="62">
        <v>37288</v>
      </c>
      <c r="B416" s="61">
        <v>50.867750000000001</v>
      </c>
    </row>
    <row r="417" spans="1:2" x14ac:dyDescent="0.25">
      <c r="A417" s="63">
        <v>37316</v>
      </c>
      <c r="B417" s="61">
        <v>51.127948000000004</v>
      </c>
    </row>
    <row r="418" spans="1:2" x14ac:dyDescent="0.25">
      <c r="A418" s="64">
        <v>37347</v>
      </c>
      <c r="B418" s="61">
        <v>51.407235</v>
      </c>
    </row>
    <row r="419" spans="1:2" x14ac:dyDescent="0.25">
      <c r="A419" s="65">
        <v>37377</v>
      </c>
      <c r="B419" s="61">
        <v>51.511429</v>
      </c>
    </row>
    <row r="420" spans="1:2" x14ac:dyDescent="0.25">
      <c r="A420" s="66">
        <v>37408</v>
      </c>
      <c r="B420" s="61">
        <v>51.762585999999999</v>
      </c>
    </row>
    <row r="421" spans="1:2" x14ac:dyDescent="0.25">
      <c r="A421" s="67">
        <v>37438</v>
      </c>
      <c r="B421" s="61">
        <v>51.911180999999999</v>
      </c>
    </row>
    <row r="422" spans="1:2" x14ac:dyDescent="0.25">
      <c r="A422" s="68">
        <v>37469</v>
      </c>
      <c r="B422" s="61">
        <v>52.108559999999997</v>
      </c>
    </row>
    <row r="423" spans="1:2" x14ac:dyDescent="0.25">
      <c r="A423" s="69">
        <v>37500</v>
      </c>
      <c r="B423" s="61">
        <v>52.421984000000002</v>
      </c>
    </row>
    <row r="424" spans="1:2" x14ac:dyDescent="0.25">
      <c r="A424" s="70">
        <v>37530</v>
      </c>
      <c r="B424" s="61">
        <v>52.653036</v>
      </c>
    </row>
    <row r="425" spans="1:2" x14ac:dyDescent="0.25">
      <c r="A425" s="71">
        <v>37561</v>
      </c>
      <c r="B425" s="61">
        <v>53.078876999999999</v>
      </c>
    </row>
    <row r="426" spans="1:2" x14ac:dyDescent="0.25">
      <c r="A426" s="72">
        <v>37591</v>
      </c>
      <c r="B426" s="61">
        <v>53.309930000000001</v>
      </c>
    </row>
    <row r="427" spans="1:2" x14ac:dyDescent="0.25">
      <c r="A427" s="60">
        <v>37622</v>
      </c>
      <c r="B427" s="61">
        <v>53.525441000000001</v>
      </c>
    </row>
    <row r="428" spans="1:2" x14ac:dyDescent="0.25">
      <c r="A428" s="62">
        <v>37653</v>
      </c>
      <c r="B428" s="61">
        <v>53.674121999999997</v>
      </c>
    </row>
    <row r="429" spans="1:2" x14ac:dyDescent="0.25">
      <c r="A429" s="63">
        <v>37681</v>
      </c>
      <c r="B429" s="61">
        <v>54.012929999999997</v>
      </c>
    </row>
    <row r="430" spans="1:2" x14ac:dyDescent="0.25">
      <c r="A430" s="64">
        <v>37712</v>
      </c>
      <c r="B430" s="61">
        <v>54.105144000000003</v>
      </c>
    </row>
    <row r="431" spans="1:2" x14ac:dyDescent="0.25">
      <c r="A431" s="65">
        <v>37742</v>
      </c>
      <c r="B431" s="61">
        <v>53.93056</v>
      </c>
    </row>
    <row r="432" spans="1:2" x14ac:dyDescent="0.25">
      <c r="A432" s="66">
        <v>37773</v>
      </c>
      <c r="B432" s="61">
        <v>53.975112000000003</v>
      </c>
    </row>
    <row r="433" spans="1:2" x14ac:dyDescent="0.25">
      <c r="A433" s="67">
        <v>37803</v>
      </c>
      <c r="B433" s="61">
        <v>54.053339000000001</v>
      </c>
    </row>
    <row r="434" spans="1:2" x14ac:dyDescent="0.25">
      <c r="A434" s="68">
        <v>37834</v>
      </c>
      <c r="B434" s="61">
        <v>54.215490000000003</v>
      </c>
    </row>
    <row r="435" spans="1:2" x14ac:dyDescent="0.25">
      <c r="A435" s="69">
        <v>37865</v>
      </c>
      <c r="B435" s="61">
        <v>54.538238</v>
      </c>
    </row>
    <row r="436" spans="1:2" x14ac:dyDescent="0.25">
      <c r="A436" s="70">
        <v>37895</v>
      </c>
      <c r="B436" s="61">
        <v>54.738207000000003</v>
      </c>
    </row>
    <row r="437" spans="1:2" x14ac:dyDescent="0.25">
      <c r="A437" s="71">
        <v>37926</v>
      </c>
      <c r="B437" s="61">
        <v>55.192542000000003</v>
      </c>
    </row>
    <row r="438" spans="1:2" x14ac:dyDescent="0.25">
      <c r="A438" s="72">
        <v>37956</v>
      </c>
      <c r="B438" s="61">
        <v>55.429811000000001</v>
      </c>
    </row>
    <row r="439" spans="1:2" x14ac:dyDescent="0.25">
      <c r="A439" s="60">
        <v>37987</v>
      </c>
      <c r="B439" s="61">
        <v>55.774317000000003</v>
      </c>
    </row>
    <row r="440" spans="1:2" x14ac:dyDescent="0.25">
      <c r="A440" s="62">
        <v>38018</v>
      </c>
      <c r="B440" s="61">
        <v>56.107945000000001</v>
      </c>
    </row>
    <row r="441" spans="1:2" x14ac:dyDescent="0.25">
      <c r="A441" s="63">
        <v>38047</v>
      </c>
      <c r="B441" s="61">
        <v>56.298071</v>
      </c>
    </row>
    <row r="442" spans="1:2" x14ac:dyDescent="0.25">
      <c r="A442" s="64">
        <v>38078</v>
      </c>
      <c r="B442" s="61">
        <v>56.383032</v>
      </c>
    </row>
    <row r="443" spans="1:2" x14ac:dyDescent="0.25">
      <c r="A443" s="65">
        <v>38108</v>
      </c>
      <c r="B443" s="61">
        <v>56.241602999999998</v>
      </c>
    </row>
    <row r="444" spans="1:2" x14ac:dyDescent="0.25">
      <c r="A444" s="66">
        <v>38139</v>
      </c>
      <c r="B444" s="61">
        <v>56.331744999999998</v>
      </c>
    </row>
    <row r="445" spans="1:2" x14ac:dyDescent="0.25">
      <c r="A445" s="67">
        <v>38169</v>
      </c>
      <c r="B445" s="61">
        <v>56.479390000000002</v>
      </c>
    </row>
    <row r="446" spans="1:2" x14ac:dyDescent="0.25">
      <c r="A446" s="68">
        <v>38200</v>
      </c>
      <c r="B446" s="61">
        <v>56.828040999999999</v>
      </c>
    </row>
    <row r="447" spans="1:2" x14ac:dyDescent="0.25">
      <c r="A447" s="69">
        <v>38231</v>
      </c>
      <c r="B447" s="61">
        <v>57.297916999999998</v>
      </c>
    </row>
    <row r="448" spans="1:2" x14ac:dyDescent="0.25">
      <c r="A448" s="70">
        <v>38261</v>
      </c>
      <c r="B448" s="61">
        <v>57.694747</v>
      </c>
    </row>
    <row r="449" spans="1:2" x14ac:dyDescent="0.25">
      <c r="A449" s="71">
        <v>38292</v>
      </c>
      <c r="B449" s="61">
        <v>58.186898999999997</v>
      </c>
    </row>
    <row r="450" spans="1:2" x14ac:dyDescent="0.25">
      <c r="A450" s="72">
        <v>38322</v>
      </c>
      <c r="B450" s="61">
        <v>58.307088</v>
      </c>
    </row>
    <row r="451" spans="1:2" x14ac:dyDescent="0.25">
      <c r="A451" s="60">
        <v>38353</v>
      </c>
      <c r="B451" s="61">
        <v>58.309159999999999</v>
      </c>
    </row>
    <row r="452" spans="1:2" x14ac:dyDescent="0.25">
      <c r="A452" s="62">
        <v>38384</v>
      </c>
      <c r="B452" s="61">
        <v>58.503430999999999</v>
      </c>
    </row>
    <row r="453" spans="1:2" x14ac:dyDescent="0.25">
      <c r="A453" s="63">
        <v>38412</v>
      </c>
      <c r="B453" s="61">
        <v>58.767121000000003</v>
      </c>
    </row>
    <row r="454" spans="1:2" x14ac:dyDescent="0.25">
      <c r="A454" s="64">
        <v>38443</v>
      </c>
      <c r="B454" s="61">
        <v>58.976415000000003</v>
      </c>
    </row>
    <row r="455" spans="1:2" x14ac:dyDescent="0.25">
      <c r="A455" s="65">
        <v>38473</v>
      </c>
      <c r="B455" s="61">
        <v>58.828251000000002</v>
      </c>
    </row>
    <row r="456" spans="1:2" x14ac:dyDescent="0.25">
      <c r="A456" s="66">
        <v>38504</v>
      </c>
      <c r="B456" s="61">
        <v>58.771782999999999</v>
      </c>
    </row>
    <row r="457" spans="1:2" x14ac:dyDescent="0.25">
      <c r="A457" s="67">
        <v>38534</v>
      </c>
      <c r="B457" s="61">
        <v>59.001800000000003</v>
      </c>
    </row>
    <row r="458" spans="1:2" x14ac:dyDescent="0.25">
      <c r="A458" s="68">
        <v>38565</v>
      </c>
      <c r="B458" s="61">
        <v>59.072254999999998</v>
      </c>
    </row>
    <row r="459" spans="1:2" x14ac:dyDescent="0.25">
      <c r="A459" s="69">
        <v>38596</v>
      </c>
      <c r="B459" s="61">
        <v>59.309005999999997</v>
      </c>
    </row>
    <row r="460" spans="1:2" x14ac:dyDescent="0.25">
      <c r="A460" s="70">
        <v>38626</v>
      </c>
      <c r="B460" s="61">
        <v>59.45458</v>
      </c>
    </row>
    <row r="461" spans="1:2" x14ac:dyDescent="0.25">
      <c r="A461" s="71">
        <v>38657</v>
      </c>
      <c r="B461" s="61">
        <v>59.882492999999997</v>
      </c>
    </row>
    <row r="462" spans="1:2" x14ac:dyDescent="0.25">
      <c r="A462" s="72">
        <v>38687</v>
      </c>
      <c r="B462" s="61">
        <v>60.250312000000001</v>
      </c>
    </row>
    <row r="463" spans="1:2" x14ac:dyDescent="0.25">
      <c r="A463" s="60">
        <v>38718</v>
      </c>
      <c r="B463" s="61">
        <v>60.603625999999998</v>
      </c>
    </row>
    <row r="464" spans="1:2" x14ac:dyDescent="0.25">
      <c r="A464" s="62">
        <v>38749</v>
      </c>
      <c r="B464" s="61">
        <v>60.696357999999996</v>
      </c>
    </row>
    <row r="465" spans="1:2" x14ac:dyDescent="0.25">
      <c r="A465" s="63">
        <v>38777</v>
      </c>
      <c r="B465" s="61">
        <v>60.772511999999999</v>
      </c>
    </row>
    <row r="466" spans="1:2" x14ac:dyDescent="0.25">
      <c r="A466" s="64">
        <v>38808</v>
      </c>
      <c r="B466" s="61">
        <v>60.861617000000003</v>
      </c>
    </row>
    <row r="467" spans="1:2" x14ac:dyDescent="0.25">
      <c r="A467" s="65">
        <v>38838</v>
      </c>
      <c r="B467" s="61">
        <v>60.590674999999997</v>
      </c>
    </row>
    <row r="468" spans="1:2" x14ac:dyDescent="0.25">
      <c r="A468" s="66">
        <v>38869</v>
      </c>
      <c r="B468" s="61">
        <v>60.642997999999999</v>
      </c>
    </row>
    <row r="469" spans="1:2" x14ac:dyDescent="0.25">
      <c r="A469" s="67">
        <v>38899</v>
      </c>
      <c r="B469" s="61">
        <v>60.809294000000001</v>
      </c>
    </row>
    <row r="470" spans="1:2" x14ac:dyDescent="0.25">
      <c r="A470" s="68">
        <v>38930</v>
      </c>
      <c r="B470" s="61">
        <v>61.119608999999997</v>
      </c>
    </row>
    <row r="471" spans="1:2" x14ac:dyDescent="0.25">
      <c r="A471" s="69">
        <v>38961</v>
      </c>
      <c r="B471" s="61">
        <v>61.736612000000001</v>
      </c>
    </row>
    <row r="472" spans="1:2" x14ac:dyDescent="0.25">
      <c r="A472" s="70">
        <v>38991</v>
      </c>
      <c r="B472" s="61">
        <v>62.006518999999997</v>
      </c>
    </row>
    <row r="473" spans="1:2" x14ac:dyDescent="0.25">
      <c r="A473" s="71">
        <v>39022</v>
      </c>
      <c r="B473" s="61">
        <v>62.331856999999999</v>
      </c>
    </row>
    <row r="474" spans="1:2" x14ac:dyDescent="0.25">
      <c r="A474" s="72">
        <v>39052</v>
      </c>
      <c r="B474" s="61">
        <v>62.692424000000003</v>
      </c>
    </row>
    <row r="475" spans="1:2" x14ac:dyDescent="0.25">
      <c r="A475" s="60">
        <v>39083</v>
      </c>
      <c r="B475" s="61">
        <v>63.016207999999999</v>
      </c>
    </row>
    <row r="476" spans="1:2" x14ac:dyDescent="0.25">
      <c r="A476" s="62">
        <v>39114</v>
      </c>
      <c r="B476" s="61">
        <v>63.192346999999998</v>
      </c>
    </row>
    <row r="477" spans="1:2" x14ac:dyDescent="0.25">
      <c r="A477" s="63">
        <v>39142</v>
      </c>
      <c r="B477" s="61">
        <v>63.329113</v>
      </c>
    </row>
    <row r="478" spans="1:2" x14ac:dyDescent="0.25">
      <c r="A478" s="64">
        <v>39173</v>
      </c>
      <c r="B478" s="61">
        <v>63.291294999999998</v>
      </c>
    </row>
    <row r="479" spans="1:2" x14ac:dyDescent="0.25">
      <c r="A479" s="65">
        <v>39203</v>
      </c>
      <c r="B479" s="61">
        <v>62.982534000000001</v>
      </c>
    </row>
    <row r="480" spans="1:2" x14ac:dyDescent="0.25">
      <c r="A480" s="66">
        <v>39234</v>
      </c>
      <c r="B480" s="61">
        <v>63.058169999999997</v>
      </c>
    </row>
    <row r="481" spans="1:2" x14ac:dyDescent="0.25">
      <c r="A481" s="67">
        <v>39264</v>
      </c>
      <c r="B481" s="61">
        <v>63.326005000000002</v>
      </c>
    </row>
    <row r="482" spans="1:2" x14ac:dyDescent="0.25">
      <c r="A482" s="68">
        <v>39295</v>
      </c>
      <c r="B482" s="61">
        <v>63.583995999999999</v>
      </c>
    </row>
    <row r="483" spans="1:2" x14ac:dyDescent="0.25">
      <c r="A483" s="69">
        <v>39326</v>
      </c>
      <c r="B483" s="61">
        <v>64.077703</v>
      </c>
    </row>
    <row r="484" spans="1:2" x14ac:dyDescent="0.25">
      <c r="A484" s="70">
        <v>39356</v>
      </c>
      <c r="B484" s="61">
        <v>64.327404999999999</v>
      </c>
    </row>
    <row r="485" spans="1:2" x14ac:dyDescent="0.25">
      <c r="A485" s="71">
        <v>39387</v>
      </c>
      <c r="B485" s="61">
        <v>64.781221000000002</v>
      </c>
    </row>
    <row r="486" spans="1:2" x14ac:dyDescent="0.25">
      <c r="A486" s="72">
        <v>39417</v>
      </c>
      <c r="B486" s="61">
        <v>65.049055999999993</v>
      </c>
    </row>
    <row r="487" spans="1:2" x14ac:dyDescent="0.25">
      <c r="A487" s="60">
        <v>39448</v>
      </c>
      <c r="B487" s="61">
        <v>65.350564000000006</v>
      </c>
    </row>
    <row r="488" spans="1:2" x14ac:dyDescent="0.25">
      <c r="A488" s="62">
        <v>39479</v>
      </c>
      <c r="B488" s="61">
        <v>65.544833999999994</v>
      </c>
    </row>
    <row r="489" spans="1:2" x14ac:dyDescent="0.25">
      <c r="A489" s="63">
        <v>39508</v>
      </c>
      <c r="B489" s="61">
        <v>66.019891000000001</v>
      </c>
    </row>
    <row r="490" spans="1:2" x14ac:dyDescent="0.25">
      <c r="A490" s="64">
        <v>39539</v>
      </c>
      <c r="B490" s="61">
        <v>66.170126999999994</v>
      </c>
    </row>
    <row r="491" spans="1:2" x14ac:dyDescent="0.25">
      <c r="A491" s="65">
        <v>39569</v>
      </c>
      <c r="B491" s="61">
        <v>66.098635000000002</v>
      </c>
    </row>
    <row r="492" spans="1:2" x14ac:dyDescent="0.25">
      <c r="A492" s="66">
        <v>39600</v>
      </c>
      <c r="B492" s="61">
        <v>66.372168000000002</v>
      </c>
    </row>
    <row r="493" spans="1:2" x14ac:dyDescent="0.25">
      <c r="A493" s="67">
        <v>39630</v>
      </c>
      <c r="B493" s="61">
        <v>66.742058999999998</v>
      </c>
    </row>
    <row r="494" spans="1:2" x14ac:dyDescent="0.25">
      <c r="A494" s="68">
        <v>39661</v>
      </c>
      <c r="B494" s="61">
        <v>67.127492000000004</v>
      </c>
    </row>
    <row r="495" spans="1:2" x14ac:dyDescent="0.25">
      <c r="A495" s="69">
        <v>39692</v>
      </c>
      <c r="B495" s="61">
        <v>67.584935000000002</v>
      </c>
    </row>
    <row r="496" spans="1:2" x14ac:dyDescent="0.25">
      <c r="A496" s="70">
        <v>39722</v>
      </c>
      <c r="B496" s="61">
        <v>68.045485999999997</v>
      </c>
    </row>
    <row r="497" spans="1:2" x14ac:dyDescent="0.25">
      <c r="A497" s="71">
        <v>39753</v>
      </c>
      <c r="B497" s="61">
        <v>68.818942000000007</v>
      </c>
    </row>
    <row r="498" spans="1:2" x14ac:dyDescent="0.25">
      <c r="A498" s="72">
        <v>39783</v>
      </c>
      <c r="B498" s="61">
        <v>69.295552000000001</v>
      </c>
    </row>
    <row r="499" spans="1:2" x14ac:dyDescent="0.25">
      <c r="A499" s="60">
        <v>39814</v>
      </c>
      <c r="B499" s="61">
        <v>69.456148999999996</v>
      </c>
    </row>
    <row r="500" spans="1:2" x14ac:dyDescent="0.25">
      <c r="A500" s="62">
        <v>39845</v>
      </c>
      <c r="B500" s="61">
        <v>69.609493999999998</v>
      </c>
    </row>
    <row r="501" spans="1:2" x14ac:dyDescent="0.25">
      <c r="A501" s="63">
        <v>39873</v>
      </c>
      <c r="B501" s="61">
        <v>70.009950000000003</v>
      </c>
    </row>
    <row r="502" spans="1:2" x14ac:dyDescent="0.25">
      <c r="A502" s="64">
        <v>39904</v>
      </c>
      <c r="B502" s="61">
        <v>70.254990000000006</v>
      </c>
    </row>
    <row r="503" spans="1:2" x14ac:dyDescent="0.25">
      <c r="A503" s="65">
        <v>39934</v>
      </c>
      <c r="B503" s="61">
        <v>70.050358000000003</v>
      </c>
    </row>
    <row r="504" spans="1:2" x14ac:dyDescent="0.25">
      <c r="A504" s="66">
        <v>39965</v>
      </c>
      <c r="B504" s="61">
        <v>70.179354000000004</v>
      </c>
    </row>
    <row r="505" spans="1:2" x14ac:dyDescent="0.25">
      <c r="A505" s="67">
        <v>39995</v>
      </c>
      <c r="B505" s="61">
        <v>70.370515999999995</v>
      </c>
    </row>
    <row r="506" spans="1:2" x14ac:dyDescent="0.25">
      <c r="A506" s="68">
        <v>40026</v>
      </c>
      <c r="B506" s="61">
        <v>70.538883999999996</v>
      </c>
    </row>
    <row r="507" spans="1:2" x14ac:dyDescent="0.25">
      <c r="A507" s="69">
        <v>40057</v>
      </c>
      <c r="B507" s="61">
        <v>70.892715999999993</v>
      </c>
    </row>
    <row r="508" spans="1:2" x14ac:dyDescent="0.25">
      <c r="A508" s="70">
        <v>40087</v>
      </c>
      <c r="B508" s="61">
        <v>71.107191</v>
      </c>
    </row>
    <row r="509" spans="1:2" x14ac:dyDescent="0.25">
      <c r="A509" s="71">
        <v>40118</v>
      </c>
      <c r="B509" s="61">
        <v>71.476045999999997</v>
      </c>
    </row>
    <row r="510" spans="1:2" x14ac:dyDescent="0.25">
      <c r="A510" s="72">
        <v>40148</v>
      </c>
      <c r="B510" s="61">
        <v>71.771855000000002</v>
      </c>
    </row>
    <row r="511" spans="1:2" x14ac:dyDescent="0.25">
      <c r="A511" s="60">
        <v>40179</v>
      </c>
      <c r="B511" s="61">
        <v>72.552046000000004</v>
      </c>
    </row>
    <row r="512" spans="1:2" x14ac:dyDescent="0.25">
      <c r="A512" s="62">
        <v>40210</v>
      </c>
      <c r="B512" s="61">
        <v>72.971671000000001</v>
      </c>
    </row>
    <row r="513" spans="1:2" x14ac:dyDescent="0.25">
      <c r="A513" s="63">
        <v>40238</v>
      </c>
      <c r="B513" s="61">
        <v>73.489725000000007</v>
      </c>
    </row>
    <row r="514" spans="1:2" x14ac:dyDescent="0.25">
      <c r="A514" s="64">
        <v>40269</v>
      </c>
      <c r="B514" s="61">
        <v>73.255565000000004</v>
      </c>
    </row>
    <row r="515" spans="1:2" x14ac:dyDescent="0.25">
      <c r="A515" s="65">
        <v>40299</v>
      </c>
      <c r="B515" s="61">
        <v>72.793977999999996</v>
      </c>
    </row>
    <row r="516" spans="1:2" x14ac:dyDescent="0.25">
      <c r="A516" s="66">
        <v>40330</v>
      </c>
      <c r="B516" s="61">
        <v>72.771182999999994</v>
      </c>
    </row>
    <row r="517" spans="1:2" x14ac:dyDescent="0.25">
      <c r="A517" s="67">
        <v>40360</v>
      </c>
      <c r="B517" s="61">
        <v>72.929190000000006</v>
      </c>
    </row>
    <row r="518" spans="1:2" x14ac:dyDescent="0.25">
      <c r="A518" s="68">
        <v>40391</v>
      </c>
      <c r="B518" s="61">
        <v>73.131749999999997</v>
      </c>
    </row>
    <row r="519" spans="1:2" x14ac:dyDescent="0.25">
      <c r="A519" s="69">
        <v>40422</v>
      </c>
      <c r="B519" s="61">
        <v>73.515110000000007</v>
      </c>
    </row>
    <row r="520" spans="1:2" x14ac:dyDescent="0.25">
      <c r="A520" s="70">
        <v>40452</v>
      </c>
      <c r="B520" s="61">
        <v>73.968925999999996</v>
      </c>
    </row>
    <row r="521" spans="1:2" x14ac:dyDescent="0.25">
      <c r="A521" s="71">
        <v>40483</v>
      </c>
      <c r="B521" s="61">
        <v>74.561581000000004</v>
      </c>
    </row>
    <row r="522" spans="1:2" x14ac:dyDescent="0.25">
      <c r="A522" s="72">
        <v>40513</v>
      </c>
      <c r="B522" s="61">
        <v>74.930954</v>
      </c>
    </row>
    <row r="523" spans="1:2" x14ac:dyDescent="0.25">
      <c r="A523" s="60">
        <v>40544</v>
      </c>
      <c r="B523" s="61">
        <v>75.295991000000001</v>
      </c>
    </row>
    <row r="524" spans="1:2" x14ac:dyDescent="0.25">
      <c r="A524" s="62">
        <v>40575</v>
      </c>
      <c r="B524" s="61">
        <v>75.578460000000007</v>
      </c>
    </row>
    <row r="525" spans="1:2" x14ac:dyDescent="0.25">
      <c r="A525" s="63">
        <v>40603</v>
      </c>
      <c r="B525" s="61">
        <v>75.723450999999997</v>
      </c>
    </row>
    <row r="526" spans="1:2" x14ac:dyDescent="0.25">
      <c r="A526" s="64">
        <v>40634</v>
      </c>
      <c r="B526" s="61">
        <v>75.717440999999994</v>
      </c>
    </row>
    <row r="527" spans="1:2" x14ac:dyDescent="0.25">
      <c r="A527" s="65">
        <v>40664</v>
      </c>
      <c r="B527" s="61">
        <v>75.159263999999993</v>
      </c>
    </row>
    <row r="528" spans="1:2" x14ac:dyDescent="0.25">
      <c r="A528" s="66">
        <v>40695</v>
      </c>
      <c r="B528" s="61">
        <v>75.155507999999998</v>
      </c>
    </row>
    <row r="529" spans="1:2" x14ac:dyDescent="0.25">
      <c r="A529" s="67">
        <v>40725</v>
      </c>
      <c r="B529" s="61">
        <v>75.516107000000005</v>
      </c>
    </row>
    <row r="530" spans="1:2" x14ac:dyDescent="0.25">
      <c r="A530" s="68">
        <v>40756</v>
      </c>
      <c r="B530" s="61">
        <v>75.635554999999997</v>
      </c>
    </row>
    <row r="531" spans="1:2" x14ac:dyDescent="0.25">
      <c r="A531" s="69">
        <v>40787</v>
      </c>
      <c r="B531" s="61">
        <v>75.821112999999997</v>
      </c>
    </row>
    <row r="532" spans="1:2" x14ac:dyDescent="0.25">
      <c r="A532" s="70">
        <v>40817</v>
      </c>
      <c r="B532" s="61">
        <v>76.332712000000001</v>
      </c>
    </row>
    <row r="533" spans="1:2" x14ac:dyDescent="0.25">
      <c r="A533" s="71">
        <v>40848</v>
      </c>
      <c r="B533" s="61">
        <v>77.158332999999999</v>
      </c>
    </row>
    <row r="534" spans="1:2" x14ac:dyDescent="0.25">
      <c r="A534" s="72">
        <v>40878</v>
      </c>
      <c r="B534" s="61">
        <v>77.792384999999996</v>
      </c>
    </row>
    <row r="535" spans="1:2" x14ac:dyDescent="0.25">
      <c r="A535" s="60">
        <v>40909</v>
      </c>
      <c r="B535" s="61">
        <v>78.343048999999993</v>
      </c>
    </row>
    <row r="536" spans="1:2" x14ac:dyDescent="0.25">
      <c r="A536" s="62">
        <v>40940</v>
      </c>
      <c r="B536" s="61">
        <v>78.502313999999998</v>
      </c>
    </row>
    <row r="537" spans="1:2" x14ac:dyDescent="0.25">
      <c r="A537" s="63">
        <v>40969</v>
      </c>
      <c r="B537" s="61">
        <v>78.547388999999995</v>
      </c>
    </row>
    <row r="538" spans="1:2" x14ac:dyDescent="0.25">
      <c r="A538" s="64">
        <v>41000</v>
      </c>
      <c r="B538" s="61">
        <v>78.300979999999996</v>
      </c>
    </row>
    <row r="539" spans="1:2" x14ac:dyDescent="0.25">
      <c r="A539" s="65">
        <v>41030</v>
      </c>
      <c r="B539" s="61">
        <v>78.053819000000004</v>
      </c>
    </row>
    <row r="540" spans="1:2" x14ac:dyDescent="0.25">
      <c r="A540" s="66">
        <v>41061</v>
      </c>
      <c r="B540" s="61">
        <v>78.413667000000004</v>
      </c>
    </row>
    <row r="541" spans="1:2" x14ac:dyDescent="0.25">
      <c r="A541" s="67">
        <v>41091</v>
      </c>
      <c r="B541" s="61">
        <v>78.853897000000003</v>
      </c>
    </row>
    <row r="542" spans="1:2" x14ac:dyDescent="0.25">
      <c r="A542" s="68">
        <v>41122</v>
      </c>
      <c r="B542" s="61">
        <v>79.090540000000004</v>
      </c>
    </row>
    <row r="543" spans="1:2" x14ac:dyDescent="0.25">
      <c r="A543" s="69">
        <v>41153</v>
      </c>
      <c r="B543" s="61">
        <v>79.439119000000005</v>
      </c>
    </row>
    <row r="544" spans="1:2" x14ac:dyDescent="0.25">
      <c r="A544" s="70">
        <v>41183</v>
      </c>
      <c r="B544" s="61">
        <v>79.841036000000003</v>
      </c>
    </row>
    <row r="545" spans="1:2" x14ac:dyDescent="0.25">
      <c r="A545" s="71">
        <v>41214</v>
      </c>
      <c r="B545" s="61">
        <v>80.383437000000001</v>
      </c>
    </row>
    <row r="546" spans="1:2" x14ac:dyDescent="0.25">
      <c r="A546" s="72">
        <v>41244</v>
      </c>
      <c r="B546" s="61">
        <v>80.568242999999995</v>
      </c>
    </row>
    <row r="547" spans="1:2" x14ac:dyDescent="0.25">
      <c r="A547" s="60">
        <v>41275</v>
      </c>
      <c r="B547" s="61">
        <v>80.892781999999997</v>
      </c>
    </row>
    <row r="548" spans="1:2" x14ac:dyDescent="0.25">
      <c r="A548" s="62">
        <v>41306</v>
      </c>
      <c r="B548" s="61">
        <v>81.290942999999999</v>
      </c>
    </row>
    <row r="549" spans="1:2" x14ac:dyDescent="0.25">
      <c r="A549" s="63">
        <v>41334</v>
      </c>
      <c r="B549" s="61">
        <v>81.887433000000001</v>
      </c>
    </row>
    <row r="550" spans="1:2" x14ac:dyDescent="0.25">
      <c r="A550" s="64">
        <v>41365</v>
      </c>
      <c r="B550" s="61">
        <v>81.941523000000004</v>
      </c>
    </row>
    <row r="551" spans="1:2" x14ac:dyDescent="0.25">
      <c r="A551" s="65">
        <v>41395</v>
      </c>
      <c r="B551" s="61">
        <v>81.668819999999997</v>
      </c>
    </row>
    <row r="552" spans="1:2" x14ac:dyDescent="0.25">
      <c r="A552" s="66">
        <v>41426</v>
      </c>
      <c r="B552" s="61">
        <v>81.619237999999996</v>
      </c>
    </row>
    <row r="553" spans="1:2" x14ac:dyDescent="0.25">
      <c r="A553" s="67">
        <v>41456</v>
      </c>
      <c r="B553" s="61">
        <v>81.592192999999995</v>
      </c>
    </row>
    <row r="554" spans="1:2" x14ac:dyDescent="0.25">
      <c r="A554" s="68">
        <v>41487</v>
      </c>
      <c r="B554" s="61">
        <v>81.824327999999994</v>
      </c>
    </row>
    <row r="555" spans="1:2" x14ac:dyDescent="0.25">
      <c r="A555" s="69">
        <v>41518</v>
      </c>
      <c r="B555" s="61">
        <v>82.132339999999999</v>
      </c>
    </row>
    <row r="556" spans="1:2" x14ac:dyDescent="0.25">
      <c r="A556" s="70">
        <v>41548</v>
      </c>
      <c r="B556" s="61">
        <v>82.522987999999998</v>
      </c>
    </row>
    <row r="557" spans="1:2" x14ac:dyDescent="0.25">
      <c r="A557" s="71">
        <v>41579</v>
      </c>
      <c r="B557" s="61">
        <v>83.292265</v>
      </c>
    </row>
    <row r="558" spans="1:2" x14ac:dyDescent="0.25">
      <c r="A558" s="72">
        <v>41609</v>
      </c>
      <c r="B558" s="61">
        <v>83.770058000000006</v>
      </c>
    </row>
    <row r="559" spans="1:2" x14ac:dyDescent="0.25">
      <c r="A559" s="60">
        <v>41640</v>
      </c>
      <c r="B559" s="61">
        <v>84.519052000000002</v>
      </c>
    </row>
    <row r="560" spans="1:2" x14ac:dyDescent="0.25">
      <c r="A560" s="62">
        <v>41671</v>
      </c>
      <c r="B560" s="61">
        <v>84.733157000000006</v>
      </c>
    </row>
    <row r="561" spans="1:2" x14ac:dyDescent="0.25">
      <c r="A561" s="63">
        <v>41699</v>
      </c>
      <c r="B561" s="61">
        <v>84.965292000000005</v>
      </c>
    </row>
    <row r="562" spans="1:2" x14ac:dyDescent="0.25">
      <c r="A562" s="64">
        <v>41730</v>
      </c>
      <c r="B562" s="61">
        <v>84.806779000000006</v>
      </c>
    </row>
    <row r="563" spans="1:2" x14ac:dyDescent="0.25">
      <c r="A563" s="65">
        <v>41760</v>
      </c>
      <c r="B563" s="61">
        <v>84.535578999999998</v>
      </c>
    </row>
    <row r="564" spans="1:2" x14ac:dyDescent="0.25">
      <c r="A564" s="66">
        <v>41791</v>
      </c>
      <c r="B564" s="61">
        <v>84.682072000000005</v>
      </c>
    </row>
    <row r="565" spans="1:2" x14ac:dyDescent="0.25">
      <c r="A565" s="67">
        <v>41821</v>
      </c>
      <c r="B565" s="61">
        <v>84.914958999999996</v>
      </c>
    </row>
    <row r="566" spans="1:2" x14ac:dyDescent="0.25">
      <c r="A566" s="68">
        <v>41852</v>
      </c>
      <c r="B566" s="61">
        <v>85.219965000000002</v>
      </c>
    </row>
    <row r="567" spans="1:2" x14ac:dyDescent="0.25">
      <c r="A567" s="69">
        <v>41883</v>
      </c>
      <c r="B567" s="61">
        <v>85.596339999999998</v>
      </c>
    </row>
    <row r="568" spans="1:2" x14ac:dyDescent="0.25">
      <c r="A568" s="70">
        <v>41913</v>
      </c>
      <c r="B568" s="61">
        <v>86.069626</v>
      </c>
    </row>
    <row r="569" spans="1:2" x14ac:dyDescent="0.25">
      <c r="A569" s="71">
        <v>41944</v>
      </c>
      <c r="B569" s="61">
        <v>86.763778000000002</v>
      </c>
    </row>
    <row r="570" spans="1:2" x14ac:dyDescent="0.25">
      <c r="A570" s="72">
        <v>41974</v>
      </c>
      <c r="B570" s="61">
        <v>87.188984000000005</v>
      </c>
    </row>
    <row r="571" spans="1:2" x14ac:dyDescent="0.25">
      <c r="A571" s="60">
        <v>42005</v>
      </c>
      <c r="B571" s="61">
        <v>87.110102999999995</v>
      </c>
    </row>
    <row r="572" spans="1:2" x14ac:dyDescent="0.25">
      <c r="A572" s="62">
        <v>42036</v>
      </c>
      <c r="B572" s="61">
        <v>87.275377000000006</v>
      </c>
    </row>
    <row r="573" spans="1:2" x14ac:dyDescent="0.25">
      <c r="A573" s="63">
        <v>42064</v>
      </c>
      <c r="B573" s="61">
        <v>87.630717000000004</v>
      </c>
    </row>
    <row r="574" spans="1:2" x14ac:dyDescent="0.25">
      <c r="A574" s="64">
        <v>42095</v>
      </c>
      <c r="B574" s="61">
        <v>87.403840000000002</v>
      </c>
    </row>
    <row r="575" spans="1:2" x14ac:dyDescent="0.25">
      <c r="A575" s="65">
        <v>42125</v>
      </c>
      <c r="B575" s="61">
        <v>86.967365999999998</v>
      </c>
    </row>
    <row r="576" spans="1:2" x14ac:dyDescent="0.25">
      <c r="A576" s="66">
        <v>42156</v>
      </c>
      <c r="B576" s="61">
        <v>87.113107999999997</v>
      </c>
    </row>
    <row r="577" spans="1:2" x14ac:dyDescent="0.25">
      <c r="A577" s="67">
        <v>42186</v>
      </c>
      <c r="B577" s="61">
        <v>87.240819999999999</v>
      </c>
    </row>
    <row r="578" spans="1:2" x14ac:dyDescent="0.25">
      <c r="A578" s="68">
        <v>42217</v>
      </c>
      <c r="B578" s="61">
        <v>87.424875</v>
      </c>
    </row>
    <row r="579" spans="1:2" x14ac:dyDescent="0.25">
      <c r="A579" s="69">
        <v>42248</v>
      </c>
      <c r="B579" s="61">
        <v>87.752419000000003</v>
      </c>
    </row>
    <row r="580" spans="1:2" x14ac:dyDescent="0.25">
      <c r="A580" s="70">
        <v>42278</v>
      </c>
      <c r="B580" s="61">
        <v>88.203918999999999</v>
      </c>
    </row>
    <row r="581" spans="1:2" x14ac:dyDescent="0.25">
      <c r="A581" s="71">
        <v>42309</v>
      </c>
      <c r="B581" s="61">
        <v>88.685468</v>
      </c>
    </row>
    <row r="582" spans="1:2" x14ac:dyDescent="0.25">
      <c r="A582" s="72">
        <v>42339</v>
      </c>
      <c r="B582" s="61">
        <v>89.046818000000002</v>
      </c>
    </row>
    <row r="583" spans="1:2" x14ac:dyDescent="0.25">
      <c r="A583" s="60">
        <v>42370</v>
      </c>
      <c r="B583" s="61">
        <v>89.386381</v>
      </c>
    </row>
    <row r="584" spans="1:2" x14ac:dyDescent="0.25">
      <c r="A584" s="62">
        <v>42401</v>
      </c>
      <c r="B584" s="61">
        <v>89.777781000000004</v>
      </c>
    </row>
    <row r="585" spans="1:2" x14ac:dyDescent="0.25">
      <c r="A585" s="63">
        <v>42430</v>
      </c>
      <c r="B585" s="61">
        <v>89.910000999999994</v>
      </c>
    </row>
    <row r="586" spans="1:2" x14ac:dyDescent="0.25">
      <c r="A586" s="64">
        <v>42461</v>
      </c>
      <c r="B586" s="61">
        <v>89.625277999999994</v>
      </c>
    </row>
    <row r="587" spans="1:2" x14ac:dyDescent="0.25">
      <c r="A587" s="65">
        <v>42491</v>
      </c>
      <c r="B587" s="61">
        <v>89.225615000000005</v>
      </c>
    </row>
    <row r="588" spans="1:2" x14ac:dyDescent="0.25">
      <c r="A588" s="66">
        <v>42522</v>
      </c>
      <c r="B588" s="61">
        <v>89.324027999999998</v>
      </c>
    </row>
    <row r="589" spans="1:2" x14ac:dyDescent="0.25">
      <c r="A589" s="67">
        <v>42552</v>
      </c>
      <c r="B589" s="61">
        <v>89.556914000000006</v>
      </c>
    </row>
    <row r="590" spans="1:2" x14ac:dyDescent="0.25">
      <c r="A590" s="68">
        <v>42583</v>
      </c>
      <c r="B590" s="61">
        <v>89.809332999999995</v>
      </c>
    </row>
    <row r="591" spans="1:2" x14ac:dyDescent="0.25">
      <c r="A591" s="69">
        <v>42614</v>
      </c>
      <c r="B591" s="61">
        <v>90.357743999999997</v>
      </c>
    </row>
    <row r="592" spans="1:2" x14ac:dyDescent="0.25">
      <c r="A592" s="70">
        <v>42644</v>
      </c>
      <c r="B592" s="61">
        <v>90.906154000000001</v>
      </c>
    </row>
    <row r="593" spans="1:2" x14ac:dyDescent="0.25">
      <c r="A593" s="71">
        <v>42675</v>
      </c>
      <c r="B593" s="61">
        <v>91.616833999999997</v>
      </c>
    </row>
    <row r="594" spans="1:2" x14ac:dyDescent="0.25">
      <c r="A594" s="72">
        <v>42705</v>
      </c>
      <c r="B594" s="61">
        <v>92.039034999999998</v>
      </c>
    </row>
    <row r="595" spans="1:2" x14ac:dyDescent="0.25">
      <c r="A595" s="60">
        <v>42736</v>
      </c>
      <c r="B595" s="61">
        <v>93.603881999999999</v>
      </c>
    </row>
    <row r="596" spans="1:2" x14ac:dyDescent="0.25">
      <c r="A596" s="62">
        <v>42767</v>
      </c>
      <c r="B596" s="61">
        <v>94.144779999999997</v>
      </c>
    </row>
    <row r="597" spans="1:2" x14ac:dyDescent="0.25">
      <c r="A597" s="63">
        <v>42795</v>
      </c>
      <c r="B597" s="61">
        <v>94.722488999999996</v>
      </c>
    </row>
    <row r="598" spans="1:2" x14ac:dyDescent="0.25">
      <c r="A598" s="64">
        <v>42826</v>
      </c>
      <c r="B598" s="61">
        <v>94.838932999999997</v>
      </c>
    </row>
    <row r="599" spans="1:2" x14ac:dyDescent="0.25">
      <c r="A599" s="65">
        <v>42856</v>
      </c>
      <c r="B599" s="61">
        <v>94.725493999999998</v>
      </c>
    </row>
    <row r="600" spans="1:2" x14ac:dyDescent="0.25">
      <c r="A600" s="66">
        <v>42887</v>
      </c>
      <c r="B600" s="61">
        <v>94.963639999999998</v>
      </c>
    </row>
    <row r="601" spans="1:2" x14ac:dyDescent="0.25">
      <c r="A601" s="67">
        <v>42917</v>
      </c>
      <c r="B601" s="61">
        <v>95.322736000000006</v>
      </c>
    </row>
    <row r="602" spans="1:2" x14ac:dyDescent="0.25">
      <c r="A602" s="68">
        <v>42948</v>
      </c>
      <c r="B602" s="61">
        <v>95.793768</v>
      </c>
    </row>
    <row r="603" spans="1:2" x14ac:dyDescent="0.25">
      <c r="A603" s="69">
        <v>42979</v>
      </c>
      <c r="B603" s="61">
        <v>96.093514999999996</v>
      </c>
    </row>
    <row r="604" spans="1:2" x14ac:dyDescent="0.25">
      <c r="A604" s="70">
        <v>43009</v>
      </c>
      <c r="B604" s="61">
        <v>96.698268999999996</v>
      </c>
    </row>
    <row r="605" spans="1:2" x14ac:dyDescent="0.25">
      <c r="A605" s="71">
        <v>43040</v>
      </c>
      <c r="B605" s="61">
        <v>97.695173999999994</v>
      </c>
    </row>
    <row r="606" spans="1:2" x14ac:dyDescent="0.25">
      <c r="A606" s="72">
        <v>43070</v>
      </c>
      <c r="B606" s="61">
        <v>98.272882999999993</v>
      </c>
    </row>
    <row r="607" spans="1:2" x14ac:dyDescent="0.25">
      <c r="A607" s="60">
        <v>43101</v>
      </c>
      <c r="B607" s="61">
        <v>98.795000000000002</v>
      </c>
    </row>
    <row r="608" spans="1:2" x14ac:dyDescent="0.25">
      <c r="A608" s="62">
        <v>43132</v>
      </c>
      <c r="B608" s="61">
        <v>99.171374</v>
      </c>
    </row>
    <row r="609" spans="1:2" x14ac:dyDescent="0.25">
      <c r="A609" s="63">
        <v>43160</v>
      </c>
      <c r="B609" s="61">
        <v>99.492157000000006</v>
      </c>
    </row>
    <row r="610" spans="1:2" x14ac:dyDescent="0.25">
      <c r="A610" s="64">
        <v>43191</v>
      </c>
      <c r="B610" s="61">
        <v>99.154847000000004</v>
      </c>
    </row>
    <row r="611" spans="1:2" x14ac:dyDescent="0.25">
      <c r="A611" s="65">
        <v>43221</v>
      </c>
      <c r="B611" s="61">
        <v>98.994079999999997</v>
      </c>
    </row>
    <row r="612" spans="1:2" x14ac:dyDescent="0.25">
      <c r="A612" s="66">
        <v>43252</v>
      </c>
      <c r="B612" s="61">
        <v>99.376464999999996</v>
      </c>
    </row>
    <row r="613" spans="1:2" x14ac:dyDescent="0.25">
      <c r="A613" s="67">
        <v>43282</v>
      </c>
      <c r="B613" s="61">
        <v>99.909098999999998</v>
      </c>
    </row>
    <row r="614" spans="1:2" x14ac:dyDescent="0.25">
      <c r="A614" s="68">
        <v>43313</v>
      </c>
      <c r="B614" s="61">
        <v>100.492</v>
      </c>
    </row>
    <row r="615" spans="1:2" x14ac:dyDescent="0.25">
      <c r="A615" s="69">
        <v>43344</v>
      </c>
      <c r="B615" s="61">
        <v>100.917</v>
      </c>
    </row>
    <row r="616" spans="1:2" x14ac:dyDescent="0.25">
      <c r="A616" s="70">
        <v>43374</v>
      </c>
      <c r="B616" s="61">
        <v>101.44</v>
      </c>
    </row>
    <row r="617" spans="1:2" x14ac:dyDescent="0.25">
      <c r="A617" s="71">
        <v>43405</v>
      </c>
      <c r="B617" s="61">
        <v>102.303</v>
      </c>
    </row>
    <row r="618" spans="1:2" x14ac:dyDescent="0.25">
      <c r="A618" s="72">
        <v>43435</v>
      </c>
      <c r="B618" s="61">
        <v>103.02</v>
      </c>
    </row>
    <row r="619" spans="1:2" x14ac:dyDescent="0.25">
      <c r="A619" s="60">
        <v>43466</v>
      </c>
      <c r="B619" s="61">
        <v>103.108</v>
      </c>
    </row>
    <row r="620" spans="1:2" x14ac:dyDescent="0.25">
      <c r="A620" s="62">
        <v>43497</v>
      </c>
      <c r="B620" s="61">
        <v>103.07899999999999</v>
      </c>
    </row>
    <row r="621" spans="1:2" x14ac:dyDescent="0.25">
      <c r="A621" s="63">
        <v>43525</v>
      </c>
      <c r="B621" s="61">
        <v>103.476</v>
      </c>
    </row>
    <row r="622" spans="1:2" x14ac:dyDescent="0.25">
      <c r="A622" s="64">
        <v>43556</v>
      </c>
      <c r="B622" s="61">
        <v>103.53100000000001</v>
      </c>
    </row>
    <row r="623" spans="1:2" x14ac:dyDescent="0.25">
      <c r="A623" s="65">
        <v>43586</v>
      </c>
      <c r="B623" s="61">
        <v>103.233</v>
      </c>
    </row>
    <row r="624" spans="1:2" x14ac:dyDescent="0.25">
      <c r="A624" s="66">
        <v>43617</v>
      </c>
      <c r="B624" s="61">
        <v>103.29900000000001</v>
      </c>
    </row>
    <row r="625" spans="1:2" x14ac:dyDescent="0.25">
      <c r="A625" s="67">
        <v>43647</v>
      </c>
      <c r="B625" s="61">
        <v>103.687</v>
      </c>
    </row>
    <row r="626" spans="1:2" x14ac:dyDescent="0.25">
      <c r="A626" s="68">
        <v>43678</v>
      </c>
      <c r="B626" s="61">
        <v>103.67</v>
      </c>
    </row>
    <row r="627" spans="1:2" x14ac:dyDescent="0.25">
      <c r="A627" s="69">
        <v>43709</v>
      </c>
      <c r="B627" s="61">
        <v>103.94199999999999</v>
      </c>
    </row>
    <row r="628" spans="1:2" x14ac:dyDescent="0.25">
      <c r="A628" s="70">
        <v>43739</v>
      </c>
      <c r="B628" s="61">
        <v>104.503</v>
      </c>
    </row>
    <row r="629" spans="1:2" x14ac:dyDescent="0.25">
      <c r="A629" s="71">
        <v>43770</v>
      </c>
      <c r="B629" s="61">
        <v>105.346</v>
      </c>
    </row>
    <row r="630" spans="1:2" x14ac:dyDescent="0.25">
      <c r="A630" s="72">
        <v>43800</v>
      </c>
      <c r="B630" s="61">
        <v>105.934</v>
      </c>
    </row>
    <row r="631" spans="1:2" x14ac:dyDescent="0.25">
      <c r="A631" s="60">
        <v>43831</v>
      </c>
      <c r="B631" s="61">
        <v>106.447</v>
      </c>
    </row>
    <row r="632" spans="1:2" x14ac:dyDescent="0.25">
      <c r="A632" s="62">
        <v>43862</v>
      </c>
      <c r="B632" s="61">
        <v>106.889</v>
      </c>
    </row>
    <row r="633" spans="1:2" x14ac:dyDescent="0.25">
      <c r="A633" s="63">
        <v>43891</v>
      </c>
      <c r="B633" s="61">
        <v>106.83799999999999</v>
      </c>
    </row>
    <row r="634" spans="1:2" x14ac:dyDescent="0.25">
      <c r="A634" s="64">
        <v>43922</v>
      </c>
      <c r="B634" s="61">
        <v>105.755</v>
      </c>
    </row>
    <row r="635" spans="1:2" x14ac:dyDescent="0.25">
      <c r="A635" s="65">
        <v>43952</v>
      </c>
      <c r="B635" s="61">
        <v>106.16200000000001</v>
      </c>
    </row>
    <row r="636" spans="1:2" x14ac:dyDescent="0.25">
      <c r="A636" s="66">
        <v>43983</v>
      </c>
      <c r="B636" s="61">
        <v>106.74299999999999</v>
      </c>
    </row>
    <row r="637" spans="1:2" x14ac:dyDescent="0.25">
      <c r="A637" s="67">
        <v>44013</v>
      </c>
      <c r="B637" s="61">
        <v>107.444</v>
      </c>
    </row>
    <row r="638" spans="1:2" x14ac:dyDescent="0.25">
      <c r="A638" s="68">
        <v>44044</v>
      </c>
      <c r="B638" s="61">
        <v>107.867</v>
      </c>
    </row>
    <row r="639" spans="1:2" x14ac:dyDescent="0.25">
      <c r="A639" s="69">
        <v>44075</v>
      </c>
      <c r="B639" s="61">
        <v>108.114</v>
      </c>
    </row>
    <row r="640" spans="1:2" x14ac:dyDescent="0.25">
      <c r="A640" s="70">
        <v>44105</v>
      </c>
      <c r="B640" s="61">
        <v>108.774</v>
      </c>
    </row>
    <row r="641" spans="1:2" x14ac:dyDescent="0.25">
      <c r="A641" s="71">
        <v>44136</v>
      </c>
      <c r="B641" s="61">
        <v>108.85599999999999</v>
      </c>
    </row>
    <row r="642" spans="1:2" x14ac:dyDescent="0.25">
      <c r="A642" s="72">
        <v>44166</v>
      </c>
      <c r="B642" s="61">
        <v>109.271</v>
      </c>
    </row>
    <row r="643" spans="1:2" x14ac:dyDescent="0.25">
      <c r="A643" s="161">
        <v>44197</v>
      </c>
      <c r="B643" s="162">
        <v>110.21</v>
      </c>
    </row>
    <row r="644" spans="1:2" x14ac:dyDescent="0.25">
      <c r="A644" s="163">
        <v>44228</v>
      </c>
      <c r="B644" s="162">
        <v>110.907</v>
      </c>
    </row>
    <row r="645" spans="1:2" x14ac:dyDescent="0.25">
      <c r="A645" s="164">
        <v>44256</v>
      </c>
      <c r="B645" s="162">
        <v>111.824</v>
      </c>
    </row>
    <row r="646" spans="1:2" x14ac:dyDescent="0.25">
      <c r="A646" s="165">
        <v>44287</v>
      </c>
      <c r="B646" s="162">
        <v>112.19</v>
      </c>
    </row>
    <row r="647" spans="1:2" x14ac:dyDescent="0.25">
      <c r="A647" s="166">
        <v>44317</v>
      </c>
      <c r="B647" s="162">
        <v>112.419</v>
      </c>
    </row>
    <row r="648" spans="1:2" x14ac:dyDescent="0.25">
      <c r="A648" s="167">
        <v>44348</v>
      </c>
      <c r="B648" s="162">
        <v>113.018</v>
      </c>
    </row>
    <row r="649" spans="1:2" x14ac:dyDescent="0.25">
      <c r="A649" s="168">
        <v>44378</v>
      </c>
      <c r="B649" s="162">
        <v>113.682</v>
      </c>
    </row>
    <row r="650" spans="1:2" x14ac:dyDescent="0.25">
      <c r="A650" s="169">
        <v>44409</v>
      </c>
      <c r="B650" s="162">
        <v>113.899</v>
      </c>
    </row>
    <row r="651" spans="1:2" x14ac:dyDescent="0.25">
      <c r="A651" s="170">
        <v>44440</v>
      </c>
      <c r="B651" s="162">
        <v>114.601</v>
      </c>
    </row>
    <row r="652" spans="1:2" x14ac:dyDescent="0.25">
      <c r="A652" s="171">
        <v>44470</v>
      </c>
      <c r="B652" s="162">
        <v>115.56100000000001</v>
      </c>
    </row>
    <row r="653" spans="1:2" x14ac:dyDescent="0.25">
      <c r="A653" s="172">
        <v>44501</v>
      </c>
      <c r="B653" s="162">
        <v>116.884</v>
      </c>
    </row>
    <row r="654" spans="1:2" x14ac:dyDescent="0.25">
      <c r="A654" s="173">
        <v>44531</v>
      </c>
      <c r="B654" s="162">
        <v>117.30800000000001</v>
      </c>
    </row>
    <row r="655" spans="1:2" x14ac:dyDescent="0.25">
      <c r="A655" s="161">
        <v>44562</v>
      </c>
      <c r="B655" s="162">
        <v>118.002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9</vt:i4>
      </vt:variant>
    </vt:vector>
  </HeadingPairs>
  <TitlesOfParts>
    <vt:vector size="9" baseType="lpstr">
      <vt:lpstr>Caso 1</vt:lpstr>
      <vt:lpstr>Caso 2</vt:lpstr>
      <vt:lpstr>Caso 3</vt:lpstr>
      <vt:lpstr>Caso 4</vt:lpstr>
      <vt:lpstr>Caso 5</vt:lpstr>
      <vt:lpstr>Caso 6</vt:lpstr>
      <vt:lpstr>Caso 7</vt:lpstr>
      <vt:lpstr>Tarifas</vt:lpstr>
      <vt:lpstr>INPC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L.C.P. José Alfredo Zaragoza Buendía</dc:creator>
  <cp:lastModifiedBy>L.C. José Alfredo Zaragoza Buendía</cp:lastModifiedBy>
  <dcterms:created xsi:type="dcterms:W3CDTF">2021-01-09T05:24:19Z</dcterms:created>
  <dcterms:modified xsi:type="dcterms:W3CDTF">2022-04-19T20:25:03Z</dcterms:modified>
</cp:coreProperties>
</file>