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E:\Google Drive\Cursos\Declaración Anual de Personas Morales 2016\"/>
    </mc:Choice>
  </mc:AlternateContent>
  <bookViews>
    <workbookView xWindow="390" yWindow="420" windowWidth="18810" windowHeight="9780" tabRatio="729" firstSheet="5" activeTab="6"/>
  </bookViews>
  <sheets>
    <sheet name="INDICE" sheetId="1" r:id="rId1"/>
    <sheet name="Cédula 1" sheetId="2" r:id="rId2"/>
    <sheet name="Cedula 2" sheetId="4" r:id="rId3"/>
    <sheet name="Cédula 3" sheetId="3" r:id="rId4"/>
    <sheet name="Cédula 4" sheetId="6" r:id="rId5"/>
    <sheet name="Cédula 5" sheetId="8" r:id="rId6"/>
    <sheet name="Cédula 6" sheetId="9" r:id="rId7"/>
    <sheet name="Cédula 7" sheetId="10" r:id="rId8"/>
    <sheet name="Cédula 8" sheetId="11" r:id="rId9"/>
    <sheet name="Cédula 9" sheetId="12" r:id="rId10"/>
    <sheet name="Cédula 10" sheetId="13" r:id="rId11"/>
    <sheet name="Cédula 11" sheetId="14" r:id="rId12"/>
    <sheet name="Cédula 12" sheetId="15" r:id="rId13"/>
    <sheet name="Cédula 13" sheetId="20" r:id="rId14"/>
    <sheet name="Cédula 14" sheetId="21" r:id="rId15"/>
    <sheet name="Cédula 15" sheetId="23" r:id="rId16"/>
    <sheet name="INPC" sheetId="35" r:id="rId17"/>
  </sheets>
  <definedNames>
    <definedName name="_xlnm.Print_Area" localSheetId="1">'Cédula 1'!$A$1:$G$47</definedName>
    <definedName name="_xlnm.Print_Area" localSheetId="10">'Cédula 10'!$A$1:$G$25</definedName>
    <definedName name="_xlnm.Print_Area" localSheetId="11">'Cédula 11'!$A$1:$G$37</definedName>
    <definedName name="_xlnm.Print_Area" localSheetId="12">'Cédula 12'!$A$1:$E$19</definedName>
    <definedName name="_xlnm.Print_Area" localSheetId="13">'Cédula 13'!$A$1:$G$22</definedName>
    <definedName name="_xlnm.Print_Area" localSheetId="14">'Cédula 14'!$A$1:$G$18</definedName>
    <definedName name="_xlnm.Print_Area" localSheetId="15">'Cédula 15'!$B$1:$G$23</definedName>
    <definedName name="_xlnm.Print_Area" localSheetId="2">'Cedula 2'!$A$1:$I$34</definedName>
    <definedName name="_xlnm.Print_Area" localSheetId="3">'Cédula 3'!$A$1:$G$46</definedName>
    <definedName name="_xlnm.Print_Area" localSheetId="4">'Cédula 4'!$A$1:$E$60</definedName>
    <definedName name="_xlnm.Print_Area" localSheetId="5">'Cédula 5'!$A$1:$P$45</definedName>
    <definedName name="_xlnm.Print_Area" localSheetId="6">'Cédula 6'!$A$1:$S$26</definedName>
    <definedName name="_xlnm.Print_Area" localSheetId="7">'Cédula 7'!$A$1:$G$43</definedName>
    <definedName name="_xlnm.Print_Area" localSheetId="8">'Cédula 8'!$A$1:$J$55</definedName>
    <definedName name="_xlnm.Print_Area" localSheetId="9">'Cédula 9'!$A$1:$P$42</definedName>
    <definedName name="_xlnm.Print_Area" localSheetId="0">INDICE!$A$1:$G$32</definedName>
    <definedName name="_xlnm.Print_Area" localSheetId="16">INPC!$A$1:$N$31</definedName>
    <definedName name="Excel_BuiltIn_Print_Area_13_1">'Cédula 12'!$A$1:$E$24</definedName>
    <definedName name="Excel_BuiltIn_Print_Area_15_1">#REF!</definedName>
    <definedName name="Excel_BuiltIn_Print_Area_15_1_1">#REF!</definedName>
    <definedName name="Excel_BuiltIn_Print_Area_16_1">#REF!</definedName>
    <definedName name="Excel_BuiltIn_Print_Area_7_1">'Cédula 6'!$A$1:$P$29</definedName>
  </definedNames>
  <calcPr calcId="162913"/>
</workbook>
</file>

<file path=xl/calcChain.xml><?xml version="1.0" encoding="utf-8"?>
<calcChain xmlns="http://schemas.openxmlformats.org/spreadsheetml/2006/main">
  <c r="E14" i="9" l="1"/>
  <c r="E13" i="9"/>
  <c r="Q12" i="9"/>
  <c r="E12" i="9"/>
  <c r="E11" i="9"/>
  <c r="E10" i="9"/>
  <c r="P9" i="9"/>
  <c r="L8" i="9"/>
  <c r="C21" i="4" l="1"/>
  <c r="C51" i="2" l="1"/>
  <c r="C27" i="4"/>
  <c r="M12" i="9"/>
  <c r="E9" i="9"/>
  <c r="E19" i="9"/>
  <c r="E18" i="9"/>
  <c r="E17" i="9"/>
  <c r="E5" i="3" l="1"/>
  <c r="M10" i="12" l="1"/>
  <c r="N23" i="8"/>
  <c r="C35" i="2"/>
  <c r="E33" i="2" s="1"/>
  <c r="F21" i="13"/>
  <c r="G24" i="4"/>
  <c r="G11" i="4"/>
  <c r="G20" i="4" s="1"/>
  <c r="C6" i="4"/>
  <c r="C18" i="4" s="1"/>
  <c r="C7" i="4"/>
  <c r="C8" i="4"/>
  <c r="C9" i="4"/>
  <c r="C10" i="4"/>
  <c r="C20" i="4"/>
  <c r="H12" i="9"/>
  <c r="I12" i="9" s="1"/>
  <c r="L12" i="9" s="1"/>
  <c r="C22" i="4"/>
  <c r="H10" i="9"/>
  <c r="I10" i="9" s="1"/>
  <c r="H11" i="9"/>
  <c r="I11" i="9" s="1"/>
  <c r="C24" i="4"/>
  <c r="L13" i="9"/>
  <c r="H13" i="9"/>
  <c r="I13" i="9"/>
  <c r="K13" i="9" s="1"/>
  <c r="H14" i="9"/>
  <c r="I14" i="9" s="1"/>
  <c r="F18" i="9"/>
  <c r="C26" i="4"/>
  <c r="H19" i="9"/>
  <c r="I19" i="9" s="1"/>
  <c r="K19" i="9" s="1"/>
  <c r="M19" i="9" s="1"/>
  <c r="E7" i="2"/>
  <c r="E10" i="2"/>
  <c r="D16" i="14"/>
  <c r="D17" i="14"/>
  <c r="D18" i="14"/>
  <c r="D19" i="14"/>
  <c r="H17" i="9"/>
  <c r="I17" i="9" s="1"/>
  <c r="E26" i="14"/>
  <c r="E11" i="23"/>
  <c r="E15" i="23"/>
  <c r="C21" i="12" s="1"/>
  <c r="E21" i="12" s="1"/>
  <c r="H24" i="11"/>
  <c r="H27" i="11" s="1"/>
  <c r="E15" i="2"/>
  <c r="E18" i="2"/>
  <c r="D7" i="3"/>
  <c r="D10" i="3"/>
  <c r="E14" i="3"/>
  <c r="E18" i="3"/>
  <c r="E24" i="3"/>
  <c r="E31" i="3"/>
  <c r="E33" i="3"/>
  <c r="E35" i="3"/>
  <c r="E37" i="3"/>
  <c r="H9" i="9"/>
  <c r="I9" i="9" s="1"/>
  <c r="K9" i="9" s="1"/>
  <c r="H18" i="9"/>
  <c r="I18" i="9"/>
  <c r="K18" i="9" s="1"/>
  <c r="M18" i="9" s="1"/>
  <c r="N21" i="9"/>
  <c r="N22" i="9" s="1"/>
  <c r="F28" i="3" s="1"/>
  <c r="F24" i="3" s="1"/>
  <c r="P12" i="9"/>
  <c r="O22" i="8"/>
  <c r="O23" i="8"/>
  <c r="O24" i="8"/>
  <c r="J25" i="8"/>
  <c r="K25" i="8"/>
  <c r="L25" i="8"/>
  <c r="M25" i="8"/>
  <c r="O27" i="8"/>
  <c r="O28" i="8"/>
  <c r="O12" i="8"/>
  <c r="O13" i="8"/>
  <c r="O14" i="8"/>
  <c r="I15" i="8"/>
  <c r="O15" i="8"/>
  <c r="M37" i="8"/>
  <c r="G38" i="8" s="1"/>
  <c r="P14" i="9"/>
  <c r="E27" i="10"/>
  <c r="C20" i="6" s="1"/>
  <c r="F13" i="13"/>
  <c r="F16" i="13" s="1"/>
  <c r="F24" i="13" s="1"/>
  <c r="N17" i="12"/>
  <c r="C52" i="6"/>
  <c r="H10" i="11"/>
  <c r="H17" i="11"/>
  <c r="H20" i="11" s="1"/>
  <c r="G14" i="15"/>
  <c r="N10" i="12"/>
  <c r="G17" i="12"/>
  <c r="G15" i="15"/>
  <c r="G4" i="15"/>
  <c r="G3" i="15"/>
  <c r="C42" i="10"/>
  <c r="E23" i="10"/>
  <c r="E21" i="10"/>
  <c r="E20" i="10"/>
  <c r="E19" i="10"/>
  <c r="E17" i="10"/>
  <c r="E15" i="10"/>
  <c r="E14" i="10"/>
  <c r="E13" i="10"/>
  <c r="E12" i="10"/>
  <c r="H8" i="9"/>
  <c r="I8" i="9" s="1"/>
  <c r="E12" i="21"/>
  <c r="Q18" i="6"/>
  <c r="F16" i="9"/>
  <c r="B22" i="13"/>
  <c r="E45" i="3"/>
  <c r="D45" i="3"/>
  <c r="C11" i="12"/>
  <c r="C15" i="12" s="1"/>
  <c r="C19" i="12" s="1"/>
  <c r="D40" i="11"/>
  <c r="D41" i="11"/>
  <c r="E28" i="10"/>
  <c r="E26" i="10"/>
  <c r="E25" i="10"/>
  <c r="E24" i="10"/>
  <c r="E22" i="10"/>
  <c r="E18" i="10"/>
  <c r="E16" i="10"/>
  <c r="E11" i="10"/>
  <c r="E12" i="14"/>
  <c r="H17" i="12"/>
  <c r="I17" i="12"/>
  <c r="J17" i="12"/>
  <c r="K17" i="12"/>
  <c r="L17" i="12"/>
  <c r="M17" i="12"/>
  <c r="D8" i="9"/>
  <c r="Q8" i="9"/>
  <c r="D9" i="9"/>
  <c r="D19" i="9"/>
  <c r="D10" i="9"/>
  <c r="D11" i="9"/>
  <c r="D12" i="9"/>
  <c r="D13" i="9"/>
  <c r="D14" i="9"/>
  <c r="D17" i="9"/>
  <c r="D18" i="9"/>
  <c r="A17" i="6"/>
  <c r="C20" i="3"/>
  <c r="C21" i="3"/>
  <c r="F40" i="11"/>
  <c r="F41" i="11"/>
  <c r="H40" i="11" s="1"/>
  <c r="H43" i="11" s="1"/>
  <c r="E13" i="2" l="1"/>
  <c r="E21" i="2"/>
  <c r="G11" i="15" s="1"/>
  <c r="D21" i="12"/>
  <c r="K21" i="12"/>
  <c r="L11" i="9"/>
  <c r="K11" i="9"/>
  <c r="H21" i="12"/>
  <c r="O25" i="8"/>
  <c r="O29" i="8" s="1"/>
  <c r="G32" i="8" s="1"/>
  <c r="F21" i="12"/>
  <c r="E19" i="14"/>
  <c r="E20" i="14" s="1"/>
  <c r="E29" i="14" s="1"/>
  <c r="E35" i="14" s="1"/>
  <c r="C14" i="6" s="1"/>
  <c r="C9" i="6" s="1"/>
  <c r="G6" i="15" s="1"/>
  <c r="J21" i="12"/>
  <c r="O17" i="8"/>
  <c r="G34" i="8" s="1"/>
  <c r="N21" i="12"/>
  <c r="I21" i="12"/>
  <c r="G21" i="12"/>
  <c r="E6" i="3"/>
  <c r="M21" i="12"/>
  <c r="L21" i="12"/>
  <c r="C55" i="6"/>
  <c r="M13" i="9"/>
  <c r="Q13" i="9"/>
  <c r="E13" i="3"/>
  <c r="E15" i="3" s="1"/>
  <c r="E17" i="3" s="1"/>
  <c r="E23" i="3" s="1"/>
  <c r="E30" i="3" s="1"/>
  <c r="E32" i="3" s="1"/>
  <c r="E34" i="3" s="1"/>
  <c r="E36" i="3" s="1"/>
  <c r="E38" i="3" s="1"/>
  <c r="I16" i="9"/>
  <c r="L17" i="9"/>
  <c r="K17" i="9"/>
  <c r="L14" i="9"/>
  <c r="M14" i="9" s="1"/>
  <c r="K14" i="9"/>
  <c r="L10" i="9"/>
  <c r="K10" i="9"/>
  <c r="K16" i="9" s="1"/>
  <c r="K20" i="9" s="1"/>
  <c r="C19" i="6" s="1"/>
  <c r="M9" i="9"/>
  <c r="Q9" i="9"/>
  <c r="D10" i="10"/>
  <c r="D11" i="12"/>
  <c r="H16" i="9"/>
  <c r="E23" i="2" l="1"/>
  <c r="G2" i="15"/>
  <c r="C50" i="2"/>
  <c r="C52" i="2" s="1"/>
  <c r="E57" i="2" s="1"/>
  <c r="Q11" i="9"/>
  <c r="D8" i="10"/>
  <c r="D30" i="10" s="1"/>
  <c r="M17" i="9"/>
  <c r="G36" i="8"/>
  <c r="G42" i="8" s="1"/>
  <c r="C29" i="6" s="1"/>
  <c r="M11" i="9"/>
  <c r="F39" i="3"/>
  <c r="C31" i="6" s="1"/>
  <c r="E24" i="2"/>
  <c r="C18" i="6"/>
  <c r="C17" i="6" s="1"/>
  <c r="G17" i="15" s="1"/>
  <c r="I39" i="3"/>
  <c r="M10" i="9"/>
  <c r="C23" i="4" s="1"/>
  <c r="D15" i="12"/>
  <c r="D19" i="12" s="1"/>
  <c r="E11" i="12"/>
  <c r="Q14" i="9"/>
  <c r="C9" i="10"/>
  <c r="E9" i="10" s="1"/>
  <c r="C10" i="10"/>
  <c r="E10" i="10" s="1"/>
  <c r="D22" i="14"/>
  <c r="E22" i="14" s="1"/>
  <c r="E23" i="14" s="1"/>
  <c r="E33" i="14" s="1"/>
  <c r="C45" i="6" s="1"/>
  <c r="C41" i="6" s="1"/>
  <c r="C25" i="4"/>
  <c r="Q16" i="9"/>
  <c r="C35" i="6" s="1"/>
  <c r="C8" i="10"/>
  <c r="Q10" i="9"/>
  <c r="C25" i="12"/>
  <c r="C29" i="12" s="1"/>
  <c r="C35" i="12" s="1"/>
  <c r="L16" i="9"/>
  <c r="D8" i="20"/>
  <c r="C57" i="2" l="1"/>
  <c r="F57" i="2" s="1"/>
  <c r="D35" i="10"/>
  <c r="C29" i="2"/>
  <c r="C27" i="2"/>
  <c r="D34" i="10"/>
  <c r="C30" i="4"/>
  <c r="C33" i="4" s="1"/>
  <c r="F11" i="12"/>
  <c r="E15" i="12"/>
  <c r="E19" i="12" s="1"/>
  <c r="E23" i="12" s="1"/>
  <c r="G5" i="15"/>
  <c r="H8" i="15" s="1"/>
  <c r="D6" i="15"/>
  <c r="D31" i="12"/>
  <c r="G12" i="15"/>
  <c r="E25" i="2"/>
  <c r="E8" i="10"/>
  <c r="E30" i="10" s="1"/>
  <c r="C30" i="10"/>
  <c r="M16" i="9"/>
  <c r="C28" i="6"/>
  <c r="G18" i="15" s="1"/>
  <c r="D25" i="12"/>
  <c r="D29" i="12" s="1"/>
  <c r="D35" i="12" s="1"/>
  <c r="E25" i="12" l="1"/>
  <c r="E29" i="12" s="1"/>
  <c r="C35" i="10"/>
  <c r="E35" i="10" s="1"/>
  <c r="C28" i="2"/>
  <c r="C34" i="10"/>
  <c r="E34" i="10" s="1"/>
  <c r="C30" i="2"/>
  <c r="D7" i="20"/>
  <c r="D9" i="20" s="1"/>
  <c r="C17" i="20" s="1"/>
  <c r="G11" i="12"/>
  <c r="F15" i="12"/>
  <c r="F19" i="12" s="1"/>
  <c r="F23" i="12" l="1"/>
  <c r="F25" i="12" s="1"/>
  <c r="F29" i="12" s="1"/>
  <c r="E26" i="2"/>
  <c r="E31" i="2" s="1"/>
  <c r="E38" i="2" s="1"/>
  <c r="E31" i="12"/>
  <c r="E35" i="12" s="1"/>
  <c r="E36" i="10"/>
  <c r="H11" i="12"/>
  <c r="G15" i="12"/>
  <c r="G19" i="12" s="1"/>
  <c r="G13" i="15" l="1"/>
  <c r="N23" i="12"/>
  <c r="I23" i="12"/>
  <c r="J23" i="12"/>
  <c r="M23" i="12"/>
  <c r="K23" i="12"/>
  <c r="G23" i="12"/>
  <c r="G25" i="12" s="1"/>
  <c r="G29" i="12" s="1"/>
  <c r="L23" i="12"/>
  <c r="H23" i="12"/>
  <c r="F31" i="12"/>
  <c r="F35" i="12" s="1"/>
  <c r="G31" i="12" s="1"/>
  <c r="I11" i="12"/>
  <c r="H15" i="12"/>
  <c r="H19" i="12" s="1"/>
  <c r="H25" i="12" l="1"/>
  <c r="H29" i="12" s="1"/>
  <c r="H35" i="12" s="1"/>
  <c r="I31" i="12" s="1"/>
  <c r="I35" i="12" s="1"/>
  <c r="G35" i="12"/>
  <c r="H31" i="12" s="1"/>
  <c r="I15" i="12"/>
  <c r="I19" i="12" s="1"/>
  <c r="I25" i="12" s="1"/>
  <c r="I29" i="12" s="1"/>
  <c r="J11" i="12"/>
  <c r="J15" i="12" l="1"/>
  <c r="J19" i="12" s="1"/>
  <c r="J25" i="12" s="1"/>
  <c r="J29" i="12" s="1"/>
  <c r="K11" i="12"/>
  <c r="J31" i="12" l="1"/>
  <c r="J35" i="12" s="1"/>
  <c r="K15" i="12"/>
  <c r="K19" i="12" s="1"/>
  <c r="K25" i="12" s="1"/>
  <c r="K29" i="12" s="1"/>
  <c r="L11" i="12"/>
  <c r="K31" i="12" l="1"/>
  <c r="K35" i="12" s="1"/>
  <c r="L15" i="12"/>
  <c r="L19" i="12" s="1"/>
  <c r="L25" i="12" s="1"/>
  <c r="L29" i="12" s="1"/>
  <c r="M11" i="12"/>
  <c r="L31" i="12" l="1"/>
  <c r="L35" i="12" s="1"/>
  <c r="N11" i="12"/>
  <c r="N15" i="12" s="1"/>
  <c r="N19" i="12" s="1"/>
  <c r="N25" i="12" s="1"/>
  <c r="N29" i="12" s="1"/>
  <c r="M15" i="12"/>
  <c r="M19" i="12" s="1"/>
  <c r="M25" i="12" s="1"/>
  <c r="M29" i="12" s="1"/>
  <c r="M31" i="12" l="1"/>
  <c r="M35" i="12" l="1"/>
  <c r="N31" i="12" s="1"/>
  <c r="N35" i="12" s="1"/>
  <c r="O35" i="12" s="1"/>
  <c r="E11" i="21" s="1"/>
  <c r="H9" i="11" l="1"/>
  <c r="G16" i="15"/>
  <c r="H19" i="15" s="1"/>
  <c r="E10" i="21"/>
  <c r="E14" i="21" s="1"/>
  <c r="E41" i="2"/>
  <c r="E44" i="2" s="1"/>
  <c r="C5" i="6" l="1"/>
  <c r="C8" i="6" s="1"/>
  <c r="C50" i="6" s="1"/>
  <c r="G25" i="4"/>
  <c r="G29" i="4" s="1"/>
  <c r="G33" i="4" s="1"/>
  <c r="F36" i="4" s="1"/>
  <c r="D8" i="15"/>
  <c r="D9" i="15" s="1"/>
  <c r="D11" i="15" s="1"/>
  <c r="H8" i="11" l="1"/>
  <c r="C53" i="6"/>
  <c r="H11" i="11" l="1"/>
  <c r="H29" i="11" s="1"/>
  <c r="H30" i="11" s="1"/>
  <c r="H32" i="11" s="1"/>
  <c r="C16" i="20"/>
  <c r="F18" i="20" s="1"/>
  <c r="C57" i="6"/>
  <c r="C59" i="6" s="1"/>
</calcChain>
</file>

<file path=xl/comments1.xml><?xml version="1.0" encoding="utf-8"?>
<comments xmlns="http://schemas.openxmlformats.org/spreadsheetml/2006/main">
  <authors>
    <author>Mario Beltran</author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Mario Beltran:</t>
        </r>
        <r>
          <rPr>
            <sz val="9"/>
            <color indexed="81"/>
            <rFont val="Tahoma"/>
            <family val="2"/>
          </rPr>
          <t xml:space="preserve">
¿Contables o Fiscales?</t>
        </r>
      </text>
    </comment>
  </commentList>
</comments>
</file>

<file path=xl/comments2.xml><?xml version="1.0" encoding="utf-8"?>
<comments xmlns="http://schemas.openxmlformats.org/spreadsheetml/2006/main">
  <authors>
    <author>gva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 xml:space="preserve">Equipo de Computo:
</t>
        </r>
        <r>
          <rPr>
            <sz val="9"/>
            <color indexed="81"/>
            <rFont val="Tahoma"/>
            <family val="2"/>
          </rPr>
          <t>cédula 7: F13 + F14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 xml:space="preserve">Depreciación de E. de Computo:
</t>
        </r>
        <r>
          <rPr>
            <sz val="9"/>
            <color indexed="81"/>
            <rFont val="Tahoma"/>
            <family val="2"/>
          </rPr>
          <t>cédula 7: M13 + M14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 xml:space="preserve">Equipo de Oficina:
</t>
        </r>
        <r>
          <rPr>
            <sz val="9"/>
            <color indexed="81"/>
            <rFont val="Tahoma"/>
            <family val="2"/>
          </rPr>
          <t>cédula 7: F16 + F17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 xml:space="preserve">Depreciación E. de Oficina:
</t>
        </r>
        <r>
          <rPr>
            <sz val="9"/>
            <color indexed="81"/>
            <rFont val="Tahoma"/>
            <family val="2"/>
          </rPr>
          <t>cédula 7: M16 + M17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Equipo de transporte:</t>
        </r>
        <r>
          <rPr>
            <sz val="9"/>
            <color indexed="81"/>
            <rFont val="Tahoma"/>
            <family val="2"/>
          </rPr>
          <t xml:space="preserve">
El automovil 1 se dio de baja, ya que se enajenó en julio 2020.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 xml:space="preserve">Depreciación contable:
</t>
        </r>
        <r>
          <rPr>
            <sz val="9"/>
            <color indexed="81"/>
            <rFont val="Tahoma"/>
            <family val="2"/>
          </rPr>
          <t>solo se considera la depreciación de los autos 2 y 3. Esta depreciación es contable, por lo tanto, se deben de considerar los $200,000 del auto 2.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gva</author>
  </authors>
  <commentList>
    <comment ref="J8" authorId="0" shapeId="0">
      <text>
        <r>
          <rPr>
            <b/>
            <sz val="9"/>
            <color indexed="81"/>
            <rFont val="Tahoma"/>
            <family val="2"/>
          </rPr>
          <t xml:space="preserve">
Este activo se enajena en julio, por lo tanto, sólo se consideran 6 meses completos de uso.</t>
        </r>
      </text>
    </comment>
    <comment ref="K8" authorId="0" shapeId="0">
      <text>
        <r>
          <rPr>
            <sz val="9"/>
            <color indexed="81"/>
            <rFont val="Tahoma"/>
            <family val="2"/>
          </rPr>
          <t xml:space="preserve">
La depreciación es  mediante la aplicación, en cada ejercicio, de los porcientos máximos.
En diciembre ya no habrá cantidad alguna para aplicarle el porcentaje.</t>
        </r>
      </text>
    </comment>
    <comment ref="B18" authorId="0" shapeId="0">
      <text>
        <r>
          <rPr>
            <b/>
            <sz val="9"/>
            <color indexed="81"/>
            <rFont val="Tahoma"/>
            <family val="2"/>
          </rPr>
          <t>Automovil 2:</t>
        </r>
        <r>
          <rPr>
            <sz val="9"/>
            <color indexed="81"/>
            <rFont val="Tahoma"/>
            <family val="2"/>
          </rPr>
          <t xml:space="preserve">
Depreciación contable no considerada fiscalmente. 
El MOI contable del auto es de $200,000.</t>
        </r>
      </text>
    </comment>
  </commentList>
</comments>
</file>

<file path=xl/comments4.xml><?xml version="1.0" encoding="utf-8"?>
<comments xmlns="http://schemas.openxmlformats.org/spreadsheetml/2006/main">
  <authors>
    <author>gva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 xml:space="preserve">Pérdidas de Ejercicios Anteriores:
</t>
        </r>
        <r>
          <rPr>
            <sz val="9"/>
            <color indexed="81"/>
            <rFont val="Tahoma"/>
            <family val="2"/>
          </rPr>
          <t>La pérdida es del ejercicio anterior, por lo tanto, se conoce hasta marzo. Esto considerando que la declaración anual se presenta en fecha límite.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 xml:space="preserve">Pérdidas de Ejercicios Anteriores:
</t>
        </r>
        <r>
          <rPr>
            <sz val="9"/>
            <color indexed="81"/>
            <rFont val="Tahoma"/>
            <family val="2"/>
          </rPr>
          <t>La pérdida es del ejercicio anterior, por lo tanto, se conoce hasta marzo. Esto considerando que la declaración anual se presenta en fecha límite.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Pérdidas de Ejercicios Anteriores:</t>
        </r>
        <r>
          <rPr>
            <sz val="9"/>
            <color indexed="81"/>
            <rFont val="Tahoma"/>
            <family val="2"/>
          </rPr>
          <t xml:space="preserve">
El incremento de la pérdida se debe a su actualización.</t>
        </r>
      </text>
    </comment>
  </commentList>
</comments>
</file>

<file path=xl/sharedStrings.xml><?xml version="1.0" encoding="utf-8"?>
<sst xmlns="http://schemas.openxmlformats.org/spreadsheetml/2006/main" count="719" uniqueCount="501">
  <si>
    <t xml:space="preserve">ESTADO DE RESULTADOS </t>
  </si>
  <si>
    <t xml:space="preserve">BALANCE GENERAL </t>
  </si>
  <si>
    <t>ESTADO DE COSTO DE PRODUCCIÓN Y VENTA</t>
  </si>
  <si>
    <t>CONCILIACIÓN CONTABLE FISCAL</t>
  </si>
  <si>
    <t>CALCULO DEL AJUSTE ANUAL POR INFLACIÓN</t>
  </si>
  <si>
    <t>RELACIONES DE GASTOS DE ADMINISTRACIÓN Y DE VENTA</t>
  </si>
  <si>
    <t>CUCA Y CUFIN</t>
  </si>
  <si>
    <t>PAGOS PROVISIONALES</t>
  </si>
  <si>
    <t>PERDIDAS FISCALES</t>
  </si>
  <si>
    <t>RESULTADO FISCAL POR ENAJENACIÓN DE ACTIVO FIJO</t>
  </si>
  <si>
    <t>PTU</t>
  </si>
  <si>
    <t xml:space="preserve">COEFICIENTE DE UTILIDAD </t>
  </si>
  <si>
    <t>INVENTARIO ACUMULABLE</t>
  </si>
  <si>
    <t>Menos:</t>
  </si>
  <si>
    <t>Ventas netas</t>
  </si>
  <si>
    <t>Costo de lo vendido</t>
  </si>
  <si>
    <t>Utilidad Bruta</t>
  </si>
  <si>
    <t>Gastos de Operación</t>
  </si>
  <si>
    <t>Utilidad de operación</t>
  </si>
  <si>
    <t xml:space="preserve">     ISR </t>
  </si>
  <si>
    <t>Inventario Inicial de materias Primas</t>
  </si>
  <si>
    <t>Materias primas disponibles</t>
  </si>
  <si>
    <t>Costo de materias primas directas utilizadas</t>
  </si>
  <si>
    <t>Costo Primo</t>
  </si>
  <si>
    <t>Materia prima indirecta</t>
  </si>
  <si>
    <t>Mano de obra indirecta</t>
  </si>
  <si>
    <t>Diversas erogaciones fabriles</t>
  </si>
  <si>
    <t>Depreciaciones fabriles</t>
  </si>
  <si>
    <t>Amortizaciones fabriles</t>
  </si>
  <si>
    <t>Costo de producción procesada</t>
  </si>
  <si>
    <t>Producción en proceso en disponibilidad</t>
  </si>
  <si>
    <t>Costo de la producción Terminada</t>
  </si>
  <si>
    <t>Artículos terminados disponibles</t>
  </si>
  <si>
    <t>Costo de artículos vendidos</t>
  </si>
  <si>
    <t>RESUMEN:</t>
  </si>
  <si>
    <t>Iniciales</t>
  </si>
  <si>
    <t>Finales</t>
  </si>
  <si>
    <t>Inventario de Materias Primas</t>
  </si>
  <si>
    <t>Inventario de producción en proceso</t>
  </si>
  <si>
    <t>Inventario de artículos términados</t>
  </si>
  <si>
    <t xml:space="preserve">Total de Inventarios </t>
  </si>
  <si>
    <t>ACTIVO</t>
  </si>
  <si>
    <t>PASIVO Y CAPITAL CONTABLE</t>
  </si>
  <si>
    <t>TOTAL PASIVO Y CAPITAL</t>
  </si>
  <si>
    <t>Cédula 1</t>
  </si>
  <si>
    <t>Cédula 3</t>
  </si>
  <si>
    <t>Cédula 7</t>
  </si>
  <si>
    <t>Cédula 8</t>
  </si>
  <si>
    <t>Cédula 6</t>
  </si>
  <si>
    <t>Papelería y artículos de oficina</t>
  </si>
  <si>
    <t>Cuotas y suscripciones</t>
  </si>
  <si>
    <t>Honorarios de consejo</t>
  </si>
  <si>
    <t>Cédula 11</t>
  </si>
  <si>
    <t>RESULTADO FISCAL</t>
  </si>
  <si>
    <t>ISR CAUSADO</t>
  </si>
  <si>
    <t>UTILIDAD O PÉRDIDA NETA</t>
  </si>
  <si>
    <t>UTILIDAD O PERDIDA NETA HISTÓRICA</t>
  </si>
  <si>
    <t>MÁS</t>
  </si>
  <si>
    <t>INGRESOS FISCALES NO CONTABLES</t>
  </si>
  <si>
    <t>DEDUCCIONES CONTABLES NO FISCALES</t>
  </si>
  <si>
    <t>MENOS</t>
  </si>
  <si>
    <t>DEDUCCIONES FISCALES NO CONTABLES</t>
  </si>
  <si>
    <t>INGRESOS CONTABLES NO FISCALES</t>
  </si>
  <si>
    <t>IGUAL</t>
  </si>
  <si>
    <t>SALDOS AL FINAL DEL MES</t>
  </si>
  <si>
    <t>Ene</t>
  </si>
  <si>
    <t>Feb</t>
  </si>
  <si>
    <t>Mzo</t>
  </si>
  <si>
    <t>Abr</t>
  </si>
  <si>
    <t>May</t>
  </si>
  <si>
    <t>Jun</t>
  </si>
  <si>
    <t>Jul</t>
  </si>
  <si>
    <t>Ags</t>
  </si>
  <si>
    <t>Sep</t>
  </si>
  <si>
    <t>Oct</t>
  </si>
  <si>
    <t>Nov</t>
  </si>
  <si>
    <t>Dic</t>
  </si>
  <si>
    <t>Promedio</t>
  </si>
  <si>
    <t>Anual</t>
  </si>
  <si>
    <t>CREDITOS</t>
  </si>
  <si>
    <t>Bancos</t>
  </si>
  <si>
    <t>IVA a favor</t>
  </si>
  <si>
    <t xml:space="preserve">Promedio anual </t>
  </si>
  <si>
    <t>DEUDAS</t>
  </si>
  <si>
    <t>Proveedores</t>
  </si>
  <si>
    <t>Cuentas por pagar</t>
  </si>
  <si>
    <t>IVA por pagar</t>
  </si>
  <si>
    <t>Imss por pagar</t>
  </si>
  <si>
    <t>Promedio anual de Créditos</t>
  </si>
  <si>
    <t>Promedio anual de Deudas</t>
  </si>
  <si>
    <t>Diferencia a favor de Créditos</t>
  </si>
  <si>
    <t>FACTOR DE AJUSTE ANUAL</t>
  </si>
  <si>
    <t>Factor de Ajuste Anual</t>
  </si>
  <si>
    <t xml:space="preserve"> FECHA </t>
  </si>
  <si>
    <t>MESES</t>
  </si>
  <si>
    <t xml:space="preserve"> ULTIMO</t>
  </si>
  <si>
    <t>MOI</t>
  </si>
  <si>
    <t xml:space="preserve"> TASA</t>
  </si>
  <si>
    <t>DEPRECIACION</t>
  </si>
  <si>
    <t xml:space="preserve"> MESES</t>
  </si>
  <si>
    <t>DEP</t>
  </si>
  <si>
    <t>I. N. P. C.</t>
  </si>
  <si>
    <t>F.A.</t>
  </si>
  <si>
    <t>CONCEPTO</t>
  </si>
  <si>
    <t xml:space="preserve">   DE </t>
  </si>
  <si>
    <t>TOTALES</t>
  </si>
  <si>
    <t xml:space="preserve">   MES</t>
  </si>
  <si>
    <t>DEDUCIBLE</t>
  </si>
  <si>
    <t>ANUAL</t>
  </si>
  <si>
    <t xml:space="preserve">  ANUAL</t>
  </si>
  <si>
    <t xml:space="preserve">  MENSUAL</t>
  </si>
  <si>
    <t xml:space="preserve">  DE</t>
  </si>
  <si>
    <t>DEL EJER.</t>
  </si>
  <si>
    <t>ACUM AL</t>
  </si>
  <si>
    <t>MES</t>
  </si>
  <si>
    <t>1° MITAD</t>
  </si>
  <si>
    <t xml:space="preserve"> EJER.</t>
  </si>
  <si>
    <t>DEL EJERCICIO</t>
  </si>
  <si>
    <t xml:space="preserve"> ADQUIS</t>
  </si>
  <si>
    <t>DE USO</t>
  </si>
  <si>
    <t xml:space="preserve"> DEPRE.</t>
  </si>
  <si>
    <t>HISTORICO</t>
  </si>
  <si>
    <t xml:space="preserve">  %</t>
  </si>
  <si>
    <t>DE ADQ.</t>
  </si>
  <si>
    <t xml:space="preserve">PERIODO DE USO </t>
  </si>
  <si>
    <t xml:space="preserve"> ACTUALIZADA</t>
  </si>
  <si>
    <t>Automovil  1</t>
  </si>
  <si>
    <t>Automovil  2</t>
  </si>
  <si>
    <t>Automovil  3</t>
  </si>
  <si>
    <t>Computo 2</t>
  </si>
  <si>
    <t>Computo 1</t>
  </si>
  <si>
    <t>Maquinaria</t>
  </si>
  <si>
    <t>Oficina 1</t>
  </si>
  <si>
    <t>Oficina 2</t>
  </si>
  <si>
    <t xml:space="preserve">G R A N   T  O  T  A  L  </t>
  </si>
  <si>
    <t>Notas:</t>
  </si>
  <si>
    <t>1.- El costo de adquisición del automovil 2 fue de  $ 200,000 más IVA</t>
  </si>
  <si>
    <t>2.- El costo de adquisición del automovil 3 no es deducible.</t>
  </si>
  <si>
    <t>ADMON</t>
  </si>
  <si>
    <t>VENTA</t>
  </si>
  <si>
    <t>Depreciacion Equipo de cómputo</t>
  </si>
  <si>
    <t>Depreciacion Equipo de oficina</t>
  </si>
  <si>
    <t>Depreciación Equipo de transporte</t>
  </si>
  <si>
    <t>Sueldos y salarios</t>
  </si>
  <si>
    <t>Honorarios pagados a personas físicas</t>
  </si>
  <si>
    <t>Arrendamiento pagado a persona física</t>
  </si>
  <si>
    <t>Fletes y acarreos</t>
  </si>
  <si>
    <t>Aportaciones al Infonavit</t>
  </si>
  <si>
    <t>Aportaciones RCV</t>
  </si>
  <si>
    <t>Cuotas patronales al IMSS</t>
  </si>
  <si>
    <t>Otras contribuciones</t>
  </si>
  <si>
    <t>Pago de primas de seguros y fianzas</t>
  </si>
  <si>
    <t>Viaticos y gastos de viaje</t>
  </si>
  <si>
    <t>Honorarios pagados a personas morales</t>
  </si>
  <si>
    <t>Teléfonos</t>
  </si>
  <si>
    <t xml:space="preserve">TOTAL </t>
  </si>
  <si>
    <t>Cédula 4</t>
  </si>
  <si>
    <t>Menos</t>
  </si>
  <si>
    <t>F.A.C.</t>
  </si>
  <si>
    <t>CALCULO DE LA CUENTA DE CAPITAL DE APORTACION</t>
  </si>
  <si>
    <t>MES DE QUE SE TRATA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</si>
  <si>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</si>
  <si>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</si>
  <si>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</si>
  <si>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</si>
  <si>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</si>
  <si>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</si>
  <si>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</si>
  <si>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</si>
  <si>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</si>
  <si>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</si>
  <si>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</si>
  <si>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</si>
  <si>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INGRESOS NOMINALES</t>
  </si>
  <si>
    <t xml:space="preserve">             DEL MES</t>
  </si>
  <si>
    <t xml:space="preserve">             ACUMULADOS</t>
  </si>
  <si>
    <t>COEFICIENTE DE UTILIDAD</t>
  </si>
  <si>
    <t>UTILIDAD FISCAL</t>
  </si>
  <si>
    <t>UTIL FISCAL EXCEDENTE  ESTIM FISC</t>
  </si>
  <si>
    <t>PERDIDAS DE EJERCICIOS ANT. ACT.</t>
  </si>
  <si>
    <t>BASE DEL PAGO PROVISIONAL</t>
  </si>
  <si>
    <t>TASA DE IMPUESTO</t>
  </si>
  <si>
    <t>MONTO DEL PAGO PROVISIONAL</t>
  </si>
  <si>
    <t>ACTUALIZACIÓN DE PÉRDIDAS FISCALES</t>
  </si>
  <si>
    <t>Importe de la pérdida</t>
  </si>
  <si>
    <t>Primera actualización</t>
  </si>
  <si>
    <t>Factor</t>
  </si>
  <si>
    <t>Actualización adicional</t>
  </si>
  <si>
    <t xml:space="preserve">DETERMINACIÓN DEL RESULTADO FISCAL POR </t>
  </si>
  <si>
    <t>ENAJENACIÓN DE ACTIVO FIJO</t>
  </si>
  <si>
    <t>Tipo de bien</t>
  </si>
  <si>
    <t>Automóvil</t>
  </si>
  <si>
    <t>Fecha de enajenación</t>
  </si>
  <si>
    <t>Fecha de adquisición</t>
  </si>
  <si>
    <t>Parte no deducible</t>
  </si>
  <si>
    <t>MOI deducible</t>
  </si>
  <si>
    <t>Depreciación acumulada</t>
  </si>
  <si>
    <t>Factor de actualización</t>
  </si>
  <si>
    <t>Precio de venta</t>
  </si>
  <si>
    <t>Utilidad (pérdida) contable</t>
  </si>
  <si>
    <t>Utilidad (Pérdida) Fiscal</t>
  </si>
  <si>
    <t>Ingreso acumulable</t>
  </si>
  <si>
    <t>Ajuste anual por inflación acumulable</t>
  </si>
  <si>
    <t>Cédula 12</t>
  </si>
  <si>
    <t>Deducciones autorizadas</t>
  </si>
  <si>
    <t>Ajuste anual por inflación deducible</t>
  </si>
  <si>
    <t>Base PTU</t>
  </si>
  <si>
    <t>Ingresos Acumulables</t>
  </si>
  <si>
    <t>Ajuste anual por inflación acum.</t>
  </si>
  <si>
    <t>Ingresos nominales</t>
  </si>
  <si>
    <t>Coeficiente de utilidad</t>
  </si>
  <si>
    <t>ISR</t>
  </si>
  <si>
    <t>Cédula 10</t>
  </si>
  <si>
    <t>RETENCIONES</t>
  </si>
  <si>
    <t>SALDO A CARGO O ( A FAVOR )</t>
  </si>
  <si>
    <t>Cédula 14</t>
  </si>
  <si>
    <t>SALDO POR DEDUCIR INVENTARIOS DE 86 U 88</t>
  </si>
  <si>
    <t xml:space="preserve">PERDIDAS PENDIENTES DE DISMINUIR ACT. </t>
  </si>
  <si>
    <t xml:space="preserve">DIFERENCIA INVENTARIOS DE IMPORTACIÒN </t>
  </si>
  <si>
    <t>INVENTARIO ACUMULABLE TOTAL</t>
  </si>
  <si>
    <t xml:space="preserve">POR CIENTO DE ACUMULACIÒN </t>
  </si>
  <si>
    <t xml:space="preserve">INVENTARIO ACUMULABLE DEL EJERCICIO </t>
  </si>
  <si>
    <t>Cédula</t>
  </si>
  <si>
    <t>INDICE</t>
  </si>
  <si>
    <t>Cédula 9</t>
  </si>
  <si>
    <t>C.U. =</t>
  </si>
  <si>
    <t>Cédula 15</t>
  </si>
  <si>
    <t>Cédula 5</t>
  </si>
  <si>
    <t>Cédula 2</t>
  </si>
  <si>
    <t>-   1   =</t>
  </si>
  <si>
    <t>DETERMINACION DEL ISR</t>
  </si>
  <si>
    <t xml:space="preserve">ISR </t>
  </si>
  <si>
    <t>Cédula 4 1</t>
  </si>
  <si>
    <t>4 1</t>
  </si>
  <si>
    <t>Saldo por deducir histórico (Fiscal)</t>
  </si>
  <si>
    <t>Saldo por deducir histórico (Contable)</t>
  </si>
  <si>
    <t>VENTAS</t>
  </si>
  <si>
    <t>Articulos de Oficina</t>
  </si>
  <si>
    <t>Artículos de Limpieza</t>
  </si>
  <si>
    <t>Luz</t>
  </si>
  <si>
    <t>1) Otros Gastos</t>
  </si>
  <si>
    <t>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</si>
  <si>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</si>
  <si>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</si>
  <si>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</si>
  <si>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</si>
  <si>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</si>
  <si>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</si>
  <si>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</si>
  <si>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</si>
  <si>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</si>
  <si>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</si>
  <si>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</si>
  <si>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</si>
  <si>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Depreciación Maquinaria</t>
  </si>
  <si>
    <t>Ventas Nacionales</t>
  </si>
  <si>
    <t>Partes Relacionadas</t>
  </si>
  <si>
    <t>Partes no Relacionadas</t>
  </si>
  <si>
    <t>Ventas al Extranjero</t>
  </si>
  <si>
    <t>Ventas totales</t>
  </si>
  <si>
    <t>Devoluciones, descuentos y rebajas sobre Ventas Nacionales</t>
  </si>
  <si>
    <t>Devoluciones, descuentos y rebajas sobre Ventas al Extranjero</t>
  </si>
  <si>
    <t xml:space="preserve">Devoluciones, descuentos y rebajas sobre Ventas </t>
  </si>
  <si>
    <t>Gastos de venta (Partes Relacionadas)</t>
  </si>
  <si>
    <t>Gastos de administración (Partes Relacionadas)</t>
  </si>
  <si>
    <t>Gastos de venta (Partes no Relacionadas)</t>
  </si>
  <si>
    <t>Gastos de administración (Partes no Relacionadas)</t>
  </si>
  <si>
    <t>Otros ingresos Nacionales</t>
  </si>
  <si>
    <t>Otros ingresos Extranjeros</t>
  </si>
  <si>
    <t>Otros gastos Extranjeros</t>
  </si>
  <si>
    <t>Otros Ingresos y Gastos</t>
  </si>
  <si>
    <t xml:space="preserve">Compras nacionales </t>
  </si>
  <si>
    <t>Compras al extranjero</t>
  </si>
  <si>
    <t>Más:</t>
  </si>
  <si>
    <t>Costo de materias primas recibidas</t>
  </si>
  <si>
    <t>Inventario Final de materias primas</t>
  </si>
  <si>
    <t>Mano de obra directa utilizada</t>
  </si>
  <si>
    <t>Cargos indirectos</t>
  </si>
  <si>
    <t>Inventario Inicial de producción en proceso</t>
  </si>
  <si>
    <t>Inventario final de producción en proceso</t>
  </si>
  <si>
    <t>Inventario inicial de artículos terminados</t>
  </si>
  <si>
    <t>Inventario final de artículos terminados</t>
  </si>
  <si>
    <t>Mano de obra (partes relacionadas)</t>
  </si>
  <si>
    <t>Mano de obra (partes no relacionadas)</t>
  </si>
  <si>
    <t xml:space="preserve">LA PTU PAGADA EN EL EJERCICIO FUE DE </t>
  </si>
  <si>
    <t>NOTA:</t>
  </si>
  <si>
    <t>Cédula 13</t>
  </si>
  <si>
    <t>Partes relacionadas</t>
  </si>
  <si>
    <t>Partes no relacionadas</t>
  </si>
  <si>
    <t>Cuentas y Documentos por cobrar</t>
  </si>
  <si>
    <t>PAGOS PROVISIONALES EFECTUADOS</t>
  </si>
  <si>
    <t xml:space="preserve"> CON ANTERIORIDAD</t>
  </si>
  <si>
    <t>PAGOS PROVISIONAL DEL PERIODO</t>
  </si>
  <si>
    <t>Materias primas directas utilizadas</t>
  </si>
  <si>
    <t>Costo de materias primas  indirectas utilizada</t>
  </si>
  <si>
    <t>Total de mano de obra</t>
  </si>
  <si>
    <t>RETENCIONES DE ISR. (INV. BANCARIA)</t>
  </si>
  <si>
    <t xml:space="preserve">  ÍNDICE GENERAL DE INFLACIÓN</t>
  </si>
  <si>
    <t>I.S.R. PAGADO ( AL 30%)</t>
  </si>
  <si>
    <t xml:space="preserve">ÍNDICE DE PAPELES DE TRABAJO </t>
  </si>
  <si>
    <t>CÉDULA 1</t>
  </si>
  <si>
    <t>CÉDULA 2</t>
  </si>
  <si>
    <t>CÉDULA 3</t>
  </si>
  <si>
    <t>CÉDULA 4</t>
  </si>
  <si>
    <t>CÉDULA 5</t>
  </si>
  <si>
    <t>CÉDULA 6</t>
  </si>
  <si>
    <t>CÉDULA 7</t>
  </si>
  <si>
    <t>CÉDULA 8</t>
  </si>
  <si>
    <t>CÉDULA 9</t>
  </si>
  <si>
    <t>CÉDULA 10</t>
  </si>
  <si>
    <t>CÉDULA 11</t>
  </si>
  <si>
    <t>CÉDULA 12</t>
  </si>
  <si>
    <t>CÉDULA 13</t>
  </si>
  <si>
    <t>CÉDULA 14</t>
  </si>
  <si>
    <t>CÉDULA 15</t>
  </si>
  <si>
    <t>PROD</t>
  </si>
  <si>
    <t>La deducción de maquinaria no se suma en esta cedula por formar parte del costo de ventas</t>
  </si>
  <si>
    <t>Gastos que no reunen requisitos fiscales (1)(LISR 27)</t>
  </si>
  <si>
    <t>Previsión social (No deducible el 53%)</t>
  </si>
  <si>
    <t>Cantidad no deducible artículo 28-XXX</t>
  </si>
  <si>
    <t xml:space="preserve">Porcentaje de participación </t>
  </si>
  <si>
    <t>DEPRECIACIÓN CONTABLE Y FISCAL DEL EJERCICIO 2015</t>
  </si>
  <si>
    <t>SUMA</t>
  </si>
  <si>
    <t>Otros ingresos nacionales</t>
  </si>
  <si>
    <t>Otros ingresos extranjeros</t>
  </si>
  <si>
    <t>Ingresos contables no fiscales (Venta activo fijo contable)</t>
  </si>
  <si>
    <t xml:space="preserve">Ingresos fiscales no contables </t>
  </si>
  <si>
    <t xml:space="preserve">Ingresos </t>
  </si>
  <si>
    <t>Deducciones</t>
  </si>
  <si>
    <t>Devoluciones</t>
  </si>
  <si>
    <t>Costo de lo vendido (contable)</t>
  </si>
  <si>
    <t>Gastos de operación</t>
  </si>
  <si>
    <t>Otros gastos nacionales</t>
  </si>
  <si>
    <t>Otros gastos extranjeros</t>
  </si>
  <si>
    <t>ISR PTU</t>
  </si>
  <si>
    <t>Deducciones contables no fiscales</t>
  </si>
  <si>
    <t>Deducciones fiscales no contables</t>
  </si>
  <si>
    <t>Otro impuestos</t>
  </si>
  <si>
    <t>NO DEDUCIBLES ( EXCEPTO FRACC. VIII Y IX DEL ART. 28 )</t>
  </si>
  <si>
    <t xml:space="preserve">Utilidad Neta        </t>
  </si>
  <si>
    <t>Impuestos a la utilidad</t>
  </si>
  <si>
    <t>Contable</t>
  </si>
  <si>
    <t>Fiscal</t>
  </si>
  <si>
    <t>SALDO INICIAL AL 31 DE DICIEMBRE 2013 (Cufin generada</t>
  </si>
  <si>
    <t>UTILIDAD O PÉRDIDA FISCAL (Antes de PTU disminuible)</t>
  </si>
  <si>
    <t>*</t>
  </si>
  <si>
    <t>* Por no reunir requisitos del articulo 27 LISR</t>
  </si>
  <si>
    <t>Documentos por pagar</t>
  </si>
  <si>
    <t>Saldo por deducir actualizado (Fiscal)</t>
  </si>
  <si>
    <t>PASIVO A CORTO PLAZO</t>
  </si>
  <si>
    <t>ESTADO DE RESULTADOS INTEGRAL</t>
  </si>
  <si>
    <t>EN ESTE EJERCICIO SE TERMINA DE ACUMULAR EL INVENTARIO</t>
  </si>
  <si>
    <t>* Previsión social no deducible $ 59,857 y deducible 53,080.5</t>
  </si>
  <si>
    <t>Determinación del inventario acumulable 2017</t>
  </si>
  <si>
    <t>PTU PAGADA EN 2017 (Causada en 2016)</t>
  </si>
  <si>
    <t>INVENTARIO BASE AL 31 DE DICIEMBRE 2005</t>
  </si>
  <si>
    <t xml:space="preserve">En el presente supuesto no se disminuyó el inventario final de 2017 con relación al </t>
  </si>
  <si>
    <t>inventario base (2005).</t>
  </si>
  <si>
    <t>IMPULSORA DEL SOCONUSCO, S.A. DE C.V.</t>
  </si>
  <si>
    <t>Utilidad Fiscal</t>
  </si>
  <si>
    <t>Utilidad antes de ISR y PTU</t>
  </si>
  <si>
    <t xml:space="preserve">     PTU</t>
  </si>
  <si>
    <t>UFIN DEL EJERCICIO 2020</t>
  </si>
  <si>
    <t xml:space="preserve"> 31/DIC/2020</t>
  </si>
  <si>
    <t>DEPRECIACIÓN CONTABLE DEL EJERCICIO 2020</t>
  </si>
  <si>
    <t>Ejercicio   2018</t>
  </si>
  <si>
    <t>CALCULO DE LA UTILIDAD FISCAL NETA DEL EJERCICIO 2020</t>
  </si>
  <si>
    <t>INPC DIC 20</t>
  </si>
  <si>
    <t>INPC DIC 19</t>
  </si>
  <si>
    <t>antes del ejercicio 2014, actualizada a diciembre 2019)</t>
  </si>
  <si>
    <t>SALDO ACTUALIZADO AL 31 DE DICIEMBRE 2020</t>
  </si>
  <si>
    <t>CUFÍN GENERADA A PARTIR DE 2015 (Actualizada a 2019)</t>
  </si>
  <si>
    <t>SALDO DE LA CUFÍN 2015, actualizado a 2020</t>
  </si>
  <si>
    <t>SALDO ACTUALIZADO  AL 31 DE DICIEMBRE 2020</t>
  </si>
  <si>
    <t>SALDO TOTAL DE CUFÍN A DIC 2020</t>
  </si>
  <si>
    <t>INPC Mar 2020</t>
  </si>
  <si>
    <t>INPC OCT 2017</t>
  </si>
  <si>
    <t>PTU causada 2020</t>
  </si>
  <si>
    <t>INGRESOS SEGÚN CFDI (PRECARGADO)</t>
  </si>
  <si>
    <t>mas</t>
  </si>
  <si>
    <t>INGRESOS NO AMPARADOS CFDI (MANNUAL)</t>
  </si>
  <si>
    <t>igual</t>
  </si>
  <si>
    <t>TOTAL DE INGRESOS NOMINALES</t>
  </si>
  <si>
    <t>INGRESOS</t>
  </si>
  <si>
    <t>SAT</t>
  </si>
  <si>
    <t>EMPRESA</t>
  </si>
  <si>
    <t>DIFERENCIA</t>
  </si>
  <si>
    <t>Clientes</t>
  </si>
  <si>
    <t>Aportaciones para futuros aumentos de capital</t>
  </si>
  <si>
    <t>inpc jul/2013</t>
  </si>
  <si>
    <t>inpc jun/2020</t>
  </si>
  <si>
    <t>ISR - DECLARACION ANUAL 2021</t>
  </si>
  <si>
    <t>EJERCICIO FISCAL 2021</t>
  </si>
  <si>
    <t>POR EL AÑO QUE TERMINA EL 31 DE DICIEMBRE 2021</t>
  </si>
  <si>
    <t>Almacén De Materia Prima</t>
  </si>
  <si>
    <t>Almacén De Prod. En Proc.</t>
  </si>
  <si>
    <t>Almacén De Art. Terminado</t>
  </si>
  <si>
    <t>Inversiones En Valores</t>
  </si>
  <si>
    <t xml:space="preserve">Deudores Diversos </t>
  </si>
  <si>
    <t>Cuentas Y Documentos Por Cobrar</t>
  </si>
  <si>
    <t>Nacionales (Partes Relacionadas)</t>
  </si>
  <si>
    <t>Nacionales (Partes No Relacionadas)</t>
  </si>
  <si>
    <t>Extranjeros (Partes Relacionadas)</t>
  </si>
  <si>
    <t>Extranjeros (Partes No Relacionadas)</t>
  </si>
  <si>
    <t/>
  </si>
  <si>
    <t>Activo A Corto Plazo</t>
  </si>
  <si>
    <t>Maquinaria Y Equipo</t>
  </si>
  <si>
    <t>Dep. Maquinaria Y Equipo</t>
  </si>
  <si>
    <t>Equipo De Computo</t>
  </si>
  <si>
    <t>Dep. Equipo De Computo</t>
  </si>
  <si>
    <t>Equipo De Oficina</t>
  </si>
  <si>
    <t>Dep. Equipo De Oficina</t>
  </si>
  <si>
    <t>Equipo De Transporte</t>
  </si>
  <si>
    <t>Dep. Equipo De Transporte</t>
  </si>
  <si>
    <t>Pagos Anticipados</t>
  </si>
  <si>
    <t>Activo A Largo Plazo</t>
  </si>
  <si>
    <t>TOTAL ACTIVO</t>
  </si>
  <si>
    <t>Impuestos Por Pagar</t>
  </si>
  <si>
    <t>Documentos Por Pagar</t>
  </si>
  <si>
    <t>I.S.R. Diferido</t>
  </si>
  <si>
    <t>P.T.U. Por Pagar</t>
  </si>
  <si>
    <t>Capital Social</t>
  </si>
  <si>
    <t>Reserva Legal</t>
  </si>
  <si>
    <t>Resultado De Ejerc. Anter.</t>
  </si>
  <si>
    <t>Resultado Del Ejercicio</t>
  </si>
  <si>
    <t>ESTADO DE POSICION FINANCIERA AL 31 DE DICIEMBRE DE 2021</t>
  </si>
  <si>
    <t>DEL 1o. DE ENERO AL 31 DE DICIEMBRE 2021</t>
  </si>
  <si>
    <t>CONCILIACION CONTABLE-FISCAL 2021</t>
  </si>
  <si>
    <t>Efecto De Reexpresión</t>
  </si>
  <si>
    <t>Resultado Por Posición Monetaria</t>
  </si>
  <si>
    <t xml:space="preserve">Ajuste Anual Por Inflación Acumulable </t>
  </si>
  <si>
    <t xml:space="preserve">Anticipo De Clientes </t>
  </si>
  <si>
    <t>Intereses Moratorios Efectivamente Cobrados</t>
  </si>
  <si>
    <t>Ganancia En La Enajenación De Acciones O Por Reembolsos De Capital</t>
  </si>
  <si>
    <t>Ganancia En La Enajenación De Terrenos Y Activo Fijo</t>
  </si>
  <si>
    <t>Inventario Acumulable (Ya No Aplica)</t>
  </si>
  <si>
    <t>Otros Ingresos Fiscales No Contables</t>
  </si>
  <si>
    <t>Costo De Ventas</t>
  </si>
  <si>
    <t>Depreciación Y Amortización Contable</t>
  </si>
  <si>
    <t>Gastos Que No Reúnen Requisitos Fiscales (Lisr 27)</t>
  </si>
  <si>
    <t>Impuesto Sobre La Renta</t>
  </si>
  <si>
    <t>Participacion De Los Trabajadores En Las Utilidades</t>
  </si>
  <si>
    <t>Pérdida Contable En Enajenación De Acciones</t>
  </si>
  <si>
    <t>Pérdida Contable En Enajenación De Activo Fijo</t>
  </si>
  <si>
    <t>Pérdida En Participación Subsidiaria</t>
  </si>
  <si>
    <t>Intereses Devengados Que Exceden Del Valor De Mercado</t>
  </si>
  <si>
    <t>Otras Deducciones Contables No Fiscales</t>
  </si>
  <si>
    <t>Ajuste Anual Por Inflación Deducible</t>
  </si>
  <si>
    <t>Adquisiciones Netas De Mercancía, Materia Prima, Productos Semiterminados O Terminados</t>
  </si>
  <si>
    <t xml:space="preserve">Costo De Lo Vendido Fiscal </t>
  </si>
  <si>
    <t>Mano De Obra Directa</t>
  </si>
  <si>
    <t>Maquilas</t>
  </si>
  <si>
    <t>Gastos Indirectos De Fabricación</t>
  </si>
  <si>
    <t>Deducción De Inversiones</t>
  </si>
  <si>
    <t>Estímulo Fiscal Por Deducciones Inmediata De Inversiones</t>
  </si>
  <si>
    <t>Pérdida Fiscal En Enajenación De Acciones</t>
  </si>
  <si>
    <t>Pérdida Fiscal En Enajenación De Terrenos Y Activo Fijo</t>
  </si>
  <si>
    <t>Intereses Moratorios Efectivamente Pagados</t>
  </si>
  <si>
    <t>Otras Deducciones Fiscales No Contables</t>
  </si>
  <si>
    <t>Intereses Moratorios Devengados A Favor Cobrados O No</t>
  </si>
  <si>
    <t>Anticipo De Clientes De Ejercicios Anteriores</t>
  </si>
  <si>
    <t>Saldo A Favor De Impuestos Y Su Actualización</t>
  </si>
  <si>
    <t>Utilidad Contable En Enajenación De Activo Fijo</t>
  </si>
  <si>
    <t>Utilidad Contable En Enajenación De Acciones</t>
  </si>
  <si>
    <t>Utilidad En Participación Subsidiaria</t>
  </si>
  <si>
    <t>Otros Ingresos Contables No Fiscales</t>
  </si>
  <si>
    <t>Ptu Pagada En El Ejercicio</t>
  </si>
  <si>
    <t>Pérdidas De Ejercicios Anteriores</t>
  </si>
  <si>
    <t>CÁLCULO DEL AJUSTE ANUAL POR INFLACION 2021</t>
  </si>
  <si>
    <t xml:space="preserve">         INPC DIC 2021</t>
  </si>
  <si>
    <t xml:space="preserve">          INPC DIC 2020</t>
  </si>
  <si>
    <t>DETERMINACION DE LA DEPRECIACION CONTABLE Y DEDUCCIÓN DE INVERSIONES DEL EJERCICIO 2021</t>
  </si>
  <si>
    <t xml:space="preserve">  RELACION DE GASTOS DE ADMINISTRACION Y DE VENTA 2021</t>
  </si>
  <si>
    <t>DETERMINACIÓN DE LA CUFIN Y CUCA DEL EJERCICIO 2021</t>
  </si>
  <si>
    <t>EJERCICIO 2021</t>
  </si>
  <si>
    <t>DATOS DEL EJERCICIO 2021</t>
  </si>
  <si>
    <t>DETERMINACIÓN DE LOS PAGOS PROVISIONALES DE ISR 2021</t>
  </si>
  <si>
    <t>Ejercicio de la pérdida 2020</t>
  </si>
  <si>
    <t>Pérdida actualizada a Diciembre 2020</t>
  </si>
  <si>
    <t>INPC Dic 2020</t>
  </si>
  <si>
    <t>INPC Julio 2020</t>
  </si>
  <si>
    <t>INPC Jun 2021</t>
  </si>
  <si>
    <t>Saldo actualizado a 2021</t>
  </si>
  <si>
    <t>Por ciento máximo autorizado</t>
  </si>
  <si>
    <t>Ejercicio   2019</t>
  </si>
  <si>
    <t>Ejericicio  2020</t>
  </si>
  <si>
    <t>Ejercicio   2021</t>
  </si>
  <si>
    <t>Ejercicio 2021</t>
  </si>
  <si>
    <t>CÁLCULO DE LA PTU 2021</t>
  </si>
  <si>
    <t>COEFICIENTE DE UTILIDAD PARA PAGOS PROVISIONALES 2022</t>
  </si>
  <si>
    <t xml:space="preserve">    Cálculo del Coeficiente de Utilidad para 2022</t>
  </si>
  <si>
    <t>Otros gastos Nacionales (Incluye PTU causada 2021)</t>
  </si>
  <si>
    <t>3.- El automovil 1 fue enajenado en el mes de julio 2021</t>
  </si>
  <si>
    <t>4.- El equipo de oficina 1, dejó de ser útil para obtener los ingresos en 2007, siendo en ese ejercicio deducido todo el remanente pendiente por deducir.</t>
  </si>
  <si>
    <t>UTIL 2021</t>
  </si>
  <si>
    <t>Dic/2020</t>
  </si>
  <si>
    <t>SALDO INICIAL AL 31 DE DICIEMBRE 2020</t>
  </si>
  <si>
    <t>SALDO ACTUALIZADO AL 31 DE DICIEMBRE 2021</t>
  </si>
  <si>
    <t>OBSERVACIONES</t>
  </si>
  <si>
    <t>La diferencia de ingresos consiste en ingresos no amparados por CFDI</t>
  </si>
  <si>
    <t>DED. INV.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</si>
</sst>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164" formatCode="_-[$€-2]* #,##0.00_-;\-[$€-2]* #,##0.00_-;_-[$€-2]* \-??_-"/>
    <numFmt numFmtId="165" formatCode="_-\$* #,##0.00_-;&quot;-$&quot;* #,##0.00_-;_-\$* \-??_-;_-@_-"/>
    <numFmt numFmtId="166" formatCode="\$#,##0;[Red]&quot;-$&quot;#,##0"/>
    <numFmt numFmtId="167" formatCode="#,##0.0000000000000"/>
    <numFmt numFmtId="168" formatCode="_-\$* #,##0_-;&quot;-$&quot;* #,##0_-;_-\$* \-??_-;_-@_-"/>
    <numFmt numFmtId="169" formatCode="_-* #,##0.00_-;\-* #,##0.00_-;_-* \-??_-;_-@_-"/>
    <numFmt numFmtId="170" formatCode="0.000"/>
    <numFmt numFmtId="171" formatCode="0.0000"/>
    <numFmt numFmtId="172" formatCode="#,##0.0000"/>
    <numFmt numFmtId="173" formatCode="0.0000_)"/>
    <numFmt numFmtId="174" formatCode="0.00_)"/>
    <numFmt numFmtId="175" formatCode="0.00_ ;\-0.00\ "/>
    <numFmt numFmtId="176" formatCode="#,##0.00_ ;\-#,##0.00\ "/>
    <numFmt numFmtId="177" formatCode="#,##0.0000_ ;\-#,##0.0000\ "/>
    <numFmt numFmtId="178" formatCode="#,##0_ ;[Red]\-#,##0\ "/>
    <numFmt numFmtId="179" formatCode="#,##0.000"/>
    <numFmt numFmtId="180" formatCode="mmm\-yyyy"/>
    <numFmt numFmtId="181" formatCode="0.00000"/>
    <numFmt numFmtId="182" formatCode="0.000000"/>
    <numFmt numFmtId="183" formatCode="#,##0\);\(#,##0\)"/>
    <numFmt numFmtId="184" formatCode="#,##0.00_ \);\(#,##0.00\)"/>
    <numFmt numFmtId="185" formatCode="#,##0.00\ ;[Red]\(#,##0.00\);\-\ ;"/>
    <numFmt numFmtId="186" formatCode="#,##0.00\ ;[Red]\(#,##0.00\);0.00\ ;"/>
  </numFmts>
  <fonts count="63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1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  <charset val="1"/>
    </font>
    <font>
      <sz val="10"/>
      <name val="Arial"/>
      <family val="2"/>
    </font>
    <font>
      <b/>
      <sz val="12"/>
      <name val="Arial"/>
      <family val="2"/>
      <charset val="1"/>
    </font>
    <font>
      <b/>
      <sz val="10"/>
      <name val="Verdana"/>
      <family val="2"/>
    </font>
    <font>
      <sz val="10"/>
      <name val="Verdana"/>
      <family val="2"/>
    </font>
    <font>
      <b/>
      <sz val="13"/>
      <color indexed="56"/>
      <name val="Verdana"/>
      <family val="2"/>
    </font>
    <font>
      <sz val="10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b/>
      <sz val="12"/>
      <name val="Roboto Condensed"/>
    </font>
    <font>
      <sz val="12"/>
      <name val="Roboto Condensed"/>
    </font>
    <font>
      <sz val="10"/>
      <name val="Roboto Condensed"/>
    </font>
    <font>
      <u/>
      <sz val="11"/>
      <color indexed="12"/>
      <name val="Roboto Condensed"/>
    </font>
    <font>
      <b/>
      <sz val="10"/>
      <name val="Roboto Condensed"/>
    </font>
    <font>
      <sz val="8"/>
      <name val="Roboto Condensed"/>
    </font>
    <font>
      <sz val="8"/>
      <color indexed="8"/>
      <name val="Roboto Condensed"/>
    </font>
    <font>
      <b/>
      <sz val="8"/>
      <name val="Roboto Condensed"/>
    </font>
    <font>
      <sz val="10"/>
      <color indexed="8"/>
      <name val="Roboto Condensed"/>
    </font>
    <font>
      <b/>
      <sz val="12"/>
      <color indexed="8"/>
      <name val="Roboto Condensed"/>
    </font>
    <font>
      <b/>
      <sz val="10"/>
      <color indexed="8"/>
      <name val="Roboto Condensed"/>
    </font>
    <font>
      <b/>
      <sz val="14"/>
      <color indexed="8"/>
      <name val="Roboto Condensed"/>
    </font>
    <font>
      <b/>
      <i/>
      <sz val="10"/>
      <color indexed="8"/>
      <name val="Roboto Condensed"/>
    </font>
    <font>
      <sz val="12"/>
      <color indexed="8"/>
      <name val="Roboto Condensed"/>
    </font>
    <font>
      <sz val="12"/>
      <color rgb="FFFF0000"/>
      <name val="Roboto Condensed"/>
    </font>
    <font>
      <sz val="8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6"/>
      <color indexed="8"/>
      <name val="Arial"/>
      <family val="2"/>
    </font>
    <font>
      <sz val="9"/>
      <color indexed="8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u/>
      <sz val="10"/>
      <color indexed="12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u/>
      <sz val="12"/>
      <color indexed="8"/>
      <name val="Arial"/>
      <family val="2"/>
    </font>
    <font>
      <b/>
      <u/>
      <sz val="10"/>
      <color indexed="8"/>
      <name val="Arial"/>
      <family val="2"/>
    </font>
    <font>
      <b/>
      <u/>
      <sz val="12"/>
      <color indexed="12"/>
      <name val="Arial"/>
      <family val="2"/>
    </font>
    <font>
      <u/>
      <sz val="12"/>
      <color indexed="12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u/>
      <sz val="12"/>
      <name val="Arial"/>
      <family val="2"/>
    </font>
    <font>
      <u/>
      <sz val="12"/>
      <color indexed="10"/>
      <name val="Arial"/>
      <family val="2"/>
    </font>
    <font>
      <b/>
      <u/>
      <sz val="12"/>
      <name val="Arial"/>
      <family val="2"/>
    </font>
    <font>
      <sz val="8"/>
      <color theme="0"/>
      <name val="Arial"/>
      <family val="2"/>
    </font>
    <font>
      <b/>
      <i/>
      <sz val="12"/>
      <color indexed="8"/>
      <name val="Arial"/>
      <family val="2"/>
    </font>
    <font>
      <b/>
      <u/>
      <sz val="10"/>
      <color indexed="12"/>
      <name val="Arial"/>
      <family val="2"/>
    </font>
    <font>
      <b/>
      <i/>
      <sz val="12"/>
      <name val="Arial"/>
      <family val="2"/>
    </font>
    <font>
      <sz val="8"/>
      <color rgb="FF7030A0"/>
      <name val="Arial"/>
      <family val="2"/>
    </font>
    <font>
      <sz val="9"/>
      <color rgb="FF7030A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F5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4">
    <border>
      <left/>
      <right/>
      <top/>
      <bottom/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56"/>
      </left>
      <right style="medium">
        <color indexed="56"/>
      </right>
      <top style="medium">
        <color indexed="56"/>
      </top>
      <bottom style="medium">
        <color indexed="5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double">
        <color indexed="8"/>
      </bottom>
      <diagonal/>
    </border>
    <border>
      <left/>
      <right/>
      <top style="double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164" fontId="7" fillId="0" borderId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9" fontId="7" fillId="0" borderId="0" applyFill="0" applyBorder="0" applyAlignment="0" applyProtection="0"/>
    <xf numFmtId="165" fontId="7" fillId="0" borderId="0" applyFill="0" applyBorder="0" applyAlignment="0" applyProtection="0"/>
    <xf numFmtId="0" fontId="13" fillId="0" borderId="0"/>
    <xf numFmtId="0" fontId="1" fillId="0" borderId="0"/>
    <xf numFmtId="9" fontId="7" fillId="0" borderId="0" applyFill="0" applyBorder="0" applyAlignment="0" applyProtection="0"/>
  </cellStyleXfs>
  <cellXfs count="612">
    <xf numFmtId="0" fontId="0" fillId="0" borderId="0" xfId="0"/>
    <xf numFmtId="0" fontId="6" fillId="0" borderId="0" xfId="0" applyFont="1"/>
    <xf numFmtId="0" fontId="6" fillId="0" borderId="0" xfId="0" applyFont="1" applyFill="1"/>
    <xf numFmtId="0" fontId="10" fillId="0" borderId="0" xfId="6" applyFont="1"/>
    <xf numFmtId="0" fontId="10" fillId="2" borderId="0" xfId="6" applyFont="1" applyFill="1"/>
    <xf numFmtId="0" fontId="9" fillId="2" borderId="0" xfId="6" applyFont="1" applyFill="1"/>
    <xf numFmtId="0" fontId="9" fillId="2" borderId="0" xfId="6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6" fillId="2" borderId="0" xfId="0" applyFont="1" applyFill="1"/>
    <xf numFmtId="0" fontId="8" fillId="2" borderId="0" xfId="0" applyFont="1" applyFill="1" applyAlignment="1">
      <alignment horizontal="center"/>
    </xf>
    <xf numFmtId="0" fontId="8" fillId="2" borderId="36" xfId="6" applyFont="1" applyFill="1" applyBorder="1" applyAlignment="1">
      <alignment horizontal="center" vertical="top" wrapText="1"/>
    </xf>
    <xf numFmtId="1" fontId="8" fillId="2" borderId="36" xfId="0" applyNumberFormat="1" applyFont="1" applyFill="1" applyBorder="1" applyAlignment="1">
      <alignment horizontal="center"/>
    </xf>
    <xf numFmtId="181" fontId="6" fillId="2" borderId="36" xfId="0" applyNumberFormat="1" applyFont="1" applyFill="1" applyBorder="1"/>
    <xf numFmtId="0" fontId="8" fillId="2" borderId="36" xfId="0" applyFont="1" applyFill="1" applyBorder="1" applyAlignment="1">
      <alignment horizontal="center"/>
    </xf>
    <xf numFmtId="182" fontId="6" fillId="2" borderId="36" xfId="0" applyNumberFormat="1" applyFont="1" applyFill="1" applyBorder="1"/>
    <xf numFmtId="0" fontId="14" fillId="0" borderId="36" xfId="0" applyFont="1" applyBorder="1"/>
    <xf numFmtId="171" fontId="14" fillId="2" borderId="36" xfId="0" applyNumberFormat="1" applyFont="1" applyFill="1" applyBorder="1"/>
    <xf numFmtId="181" fontId="14" fillId="2" borderId="36" xfId="0" applyNumberFormat="1" applyFont="1" applyFill="1" applyBorder="1"/>
    <xf numFmtId="181" fontId="15" fillId="2" borderId="36" xfId="0" applyNumberFormat="1" applyFont="1" applyFill="1" applyBorder="1"/>
    <xf numFmtId="0" fontId="12" fillId="2" borderId="36" xfId="6" applyFont="1" applyFill="1" applyBorder="1" applyAlignment="1">
      <alignment horizontal="right" vertical="top" wrapText="1"/>
    </xf>
    <xf numFmtId="0" fontId="14" fillId="0" borderId="36" xfId="0" applyFont="1" applyBorder="1" applyAlignment="1">
      <alignment horizontal="right"/>
    </xf>
    <xf numFmtId="0" fontId="14" fillId="3" borderId="36" xfId="5" applyFont="1" applyFill="1" applyBorder="1" applyAlignment="1">
      <alignment horizontal="right" vertical="center" wrapText="1"/>
    </xf>
    <xf numFmtId="0" fontId="19" fillId="0" borderId="0" xfId="2" applyFont="1" applyFill="1" applyAlignment="1" applyProtection="1"/>
    <xf numFmtId="0" fontId="19" fillId="0" borderId="0" xfId="2" applyFont="1" applyFill="1" applyBorder="1" applyAlignment="1" applyProtection="1">
      <alignment horizontal="right" vertical="center"/>
    </xf>
    <xf numFmtId="0" fontId="19" fillId="0" borderId="0" xfId="2" applyFont="1" applyFill="1" applyBorder="1" applyAlignment="1" applyProtection="1"/>
    <xf numFmtId="3" fontId="22" fillId="0" borderId="0" xfId="0" applyNumberFormat="1" applyFont="1" applyFill="1" applyAlignment="1">
      <alignment horizontal="right"/>
    </xf>
    <xf numFmtId="0" fontId="23" fillId="0" borderId="0" xfId="0" applyFont="1" applyFill="1" applyAlignment="1">
      <alignment horizontal="justify"/>
    </xf>
    <xf numFmtId="3" fontId="24" fillId="0" borderId="0" xfId="0" applyNumberFormat="1" applyFont="1" applyFill="1" applyAlignment="1">
      <alignment horizontal="right"/>
    </xf>
    <xf numFmtId="0" fontId="21" fillId="0" borderId="0" xfId="0" applyFont="1" applyFill="1"/>
    <xf numFmtId="0" fontId="24" fillId="0" borderId="0" xfId="0" applyFont="1" applyFill="1" applyAlignment="1">
      <alignment vertical="center"/>
    </xf>
    <xf numFmtId="3" fontId="25" fillId="0" borderId="0" xfId="0" applyNumberFormat="1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4" fillId="0" borderId="0" xfId="0" applyFont="1" applyFill="1"/>
    <xf numFmtId="0" fontId="25" fillId="0" borderId="0" xfId="0" applyFont="1" applyFill="1"/>
    <xf numFmtId="4" fontId="24" fillId="0" borderId="0" xfId="0" applyNumberFormat="1" applyFont="1" applyFill="1"/>
    <xf numFmtId="0" fontId="24" fillId="0" borderId="0" xfId="0" applyFont="1" applyFill="1" applyBorder="1"/>
    <xf numFmtId="4" fontId="24" fillId="0" borderId="0" xfId="0" applyNumberFormat="1" applyFont="1" applyFill="1" applyBorder="1"/>
    <xf numFmtId="4" fontId="24" fillId="0" borderId="16" xfId="0" applyNumberFormat="1" applyFont="1" applyFill="1" applyBorder="1"/>
    <xf numFmtId="0" fontId="26" fillId="0" borderId="0" xfId="0" applyFont="1" applyFill="1"/>
    <xf numFmtId="176" fontId="24" fillId="0" borderId="0" xfId="0" applyNumberFormat="1" applyFont="1" applyFill="1"/>
    <xf numFmtId="0" fontId="24" fillId="0" borderId="16" xfId="0" applyFont="1" applyFill="1" applyBorder="1" applyAlignment="1">
      <alignment horizontal="right"/>
    </xf>
    <xf numFmtId="172" fontId="24" fillId="0" borderId="16" xfId="0" applyNumberFormat="1" applyFont="1" applyFill="1" applyBorder="1"/>
    <xf numFmtId="177" fontId="24" fillId="0" borderId="0" xfId="0" applyNumberFormat="1" applyFont="1" applyFill="1"/>
    <xf numFmtId="172" fontId="24" fillId="0" borderId="0" xfId="0" applyNumberFormat="1" applyFont="1" applyFill="1"/>
    <xf numFmtId="176" fontId="24" fillId="0" borderId="12" xfId="0" applyNumberFormat="1" applyFont="1" applyFill="1" applyBorder="1"/>
    <xf numFmtId="176" fontId="24" fillId="0" borderId="16" xfId="0" applyNumberFormat="1" applyFont="1" applyFill="1" applyBorder="1"/>
    <xf numFmtId="171" fontId="24" fillId="0" borderId="12" xfId="0" applyNumberFormat="1" applyFont="1" applyFill="1" applyBorder="1"/>
    <xf numFmtId="3" fontId="23" fillId="0" borderId="0" xfId="0" applyNumberFormat="1" applyFont="1" applyFill="1" applyBorder="1" applyAlignment="1">
      <alignment vertical="center"/>
    </xf>
    <xf numFmtId="3" fontId="21" fillId="0" borderId="0" xfId="0" applyNumberFormat="1" applyFont="1" applyFill="1" applyBorder="1" applyAlignment="1">
      <alignment vertical="center"/>
    </xf>
    <xf numFmtId="3" fontId="29" fillId="0" borderId="0" xfId="0" applyNumberFormat="1" applyFont="1" applyFill="1"/>
    <xf numFmtId="0" fontId="29" fillId="0" borderId="0" xfId="0" applyFont="1" applyFill="1"/>
    <xf numFmtId="0" fontId="29" fillId="0" borderId="12" xfId="0" applyFont="1" applyFill="1" applyBorder="1"/>
    <xf numFmtId="170" fontId="29" fillId="0" borderId="12" xfId="0" applyNumberFormat="1" applyFont="1" applyFill="1" applyBorder="1"/>
    <xf numFmtId="172" fontId="29" fillId="0" borderId="0" xfId="0" applyNumberFormat="1" applyFont="1" applyFill="1"/>
    <xf numFmtId="0" fontId="29" fillId="0" borderId="16" xfId="0" applyFont="1" applyFill="1" applyBorder="1"/>
    <xf numFmtId="172" fontId="17" fillId="0" borderId="0" xfId="0" applyNumberFormat="1" applyFont="1" applyFill="1"/>
    <xf numFmtId="170" fontId="29" fillId="0" borderId="0" xfId="0" applyNumberFormat="1" applyFont="1" applyFill="1" applyBorder="1"/>
    <xf numFmtId="3" fontId="25" fillId="0" borderId="0" xfId="0" applyNumberFormat="1" applyFont="1" applyFill="1"/>
    <xf numFmtId="0" fontId="30" fillId="0" borderId="0" xfId="0" applyFont="1" applyFill="1"/>
    <xf numFmtId="3" fontId="25" fillId="0" borderId="0" xfId="0" applyNumberFormat="1" applyFont="1" applyFill="1" applyAlignment="1"/>
    <xf numFmtId="0" fontId="19" fillId="0" borderId="0" xfId="2" applyFont="1" applyFill="1" applyBorder="1" applyAlignment="1" applyProtection="1">
      <alignment horizontal="left" vertical="center"/>
    </xf>
    <xf numFmtId="3" fontId="24" fillId="0" borderId="0" xfId="0" applyNumberFormat="1" applyFont="1" applyFill="1"/>
    <xf numFmtId="0" fontId="19" fillId="0" borderId="0" xfId="2" applyFont="1" applyFill="1" applyBorder="1" applyAlignment="1" applyProtection="1">
      <alignment horizontal="center" vertical="center"/>
    </xf>
    <xf numFmtId="175" fontId="24" fillId="0" borderId="0" xfId="0" applyNumberFormat="1" applyFont="1" applyFill="1"/>
    <xf numFmtId="0" fontId="24" fillId="0" borderId="0" xfId="0" applyFont="1" applyFill="1" applyAlignment="1">
      <alignment horizontal="left" indent="1"/>
    </xf>
    <xf numFmtId="175" fontId="26" fillId="0" borderId="0" xfId="0" applyNumberFormat="1" applyFont="1" applyFill="1"/>
    <xf numFmtId="0" fontId="19" fillId="0" borderId="0" xfId="2" applyFont="1" applyFill="1" applyAlignment="1" applyProtection="1">
      <alignment horizontal="right"/>
    </xf>
    <xf numFmtId="0" fontId="24" fillId="0" borderId="0" xfId="0" applyFont="1" applyFill="1" applyAlignment="1">
      <alignment horizontal="left" vertical="center"/>
    </xf>
    <xf numFmtId="3" fontId="21" fillId="0" borderId="0" xfId="0" applyNumberFormat="1" applyFont="1" applyFill="1"/>
    <xf numFmtId="0" fontId="23" fillId="0" borderId="18" xfId="0" applyFont="1" applyFill="1" applyBorder="1" applyAlignment="1">
      <alignment horizontal="center"/>
    </xf>
    <xf numFmtId="0" fontId="23" fillId="0" borderId="19" xfId="0" applyFont="1" applyFill="1" applyBorder="1" applyAlignment="1">
      <alignment horizontal="center"/>
    </xf>
    <xf numFmtId="0" fontId="23" fillId="0" borderId="9" xfId="0" applyFont="1" applyFill="1" applyBorder="1"/>
    <xf numFmtId="0" fontId="23" fillId="0" borderId="21" xfId="0" applyFont="1" applyFill="1" applyBorder="1"/>
    <xf numFmtId="0" fontId="21" fillId="0" borderId="0" xfId="0" applyFont="1" applyFill="1" applyAlignment="1">
      <alignment vertical="center"/>
    </xf>
    <xf numFmtId="0" fontId="21" fillId="0" borderId="22" xfId="0" applyFont="1" applyFill="1" applyBorder="1" applyAlignment="1">
      <alignment vertical="center"/>
    </xf>
    <xf numFmtId="3" fontId="21" fillId="0" borderId="23" xfId="0" applyNumberFormat="1" applyFont="1" applyFill="1" applyBorder="1" applyAlignment="1">
      <alignment vertical="center"/>
    </xf>
    <xf numFmtId="3" fontId="21" fillId="0" borderId="24" xfId="0" applyNumberFormat="1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1" fillId="0" borderId="25" xfId="0" applyFont="1" applyFill="1" applyBorder="1" applyAlignment="1">
      <alignment vertical="center"/>
    </xf>
    <xf numFmtId="3" fontId="21" fillId="0" borderId="0" xfId="0" applyNumberFormat="1" applyFont="1" applyFill="1" applyAlignment="1">
      <alignment vertical="center"/>
    </xf>
    <xf numFmtId="0" fontId="21" fillId="0" borderId="27" xfId="0" applyFont="1" applyFill="1" applyBorder="1" applyAlignment="1">
      <alignment vertical="center"/>
    </xf>
    <xf numFmtId="3" fontId="21" fillId="0" borderId="14" xfId="0" applyNumberFormat="1" applyFont="1" applyFill="1" applyBorder="1" applyAlignment="1">
      <alignment vertical="center"/>
    </xf>
    <xf numFmtId="3" fontId="21" fillId="0" borderId="28" xfId="0" applyNumberFormat="1" applyFont="1" applyFill="1" applyBorder="1" applyAlignment="1">
      <alignment vertical="center"/>
    </xf>
    <xf numFmtId="0" fontId="21" fillId="0" borderId="29" xfId="0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29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1" fillId="0" borderId="31" xfId="0" applyFont="1" applyFill="1" applyBorder="1" applyAlignment="1">
      <alignment vertical="center"/>
    </xf>
    <xf numFmtId="0" fontId="21" fillId="0" borderId="32" xfId="0" applyFont="1" applyFill="1" applyBorder="1" applyAlignment="1">
      <alignment vertical="center"/>
    </xf>
    <xf numFmtId="0" fontId="21" fillId="0" borderId="33" xfId="0" applyFont="1" applyFill="1" applyBorder="1" applyAlignment="1">
      <alignment vertical="center"/>
    </xf>
    <xf numFmtId="0" fontId="20" fillId="0" borderId="0" xfId="0" applyFont="1" applyFill="1" applyAlignment="1">
      <alignment horizontal="left"/>
    </xf>
    <xf numFmtId="0" fontId="18" fillId="0" borderId="0" xfId="0" applyFont="1" applyFill="1" applyAlignment="1">
      <alignment horizontal="left"/>
    </xf>
    <xf numFmtId="0" fontId="21" fillId="0" borderId="0" xfId="0" applyFont="1" applyFill="1" applyAlignment="1">
      <alignment horizontal="left"/>
    </xf>
    <xf numFmtId="4" fontId="24" fillId="0" borderId="0" xfId="0" applyNumberFormat="1" applyFont="1" applyFill="1" applyAlignment="1">
      <alignment vertical="center"/>
    </xf>
    <xf numFmtId="4" fontId="24" fillId="0" borderId="16" xfId="0" applyNumberFormat="1" applyFont="1" applyFill="1" applyBorder="1" applyAlignment="1">
      <alignment vertical="center"/>
    </xf>
    <xf numFmtId="0" fontId="25" fillId="0" borderId="0" xfId="0" applyFont="1" applyFill="1" applyBorder="1" applyAlignment="1"/>
    <xf numFmtId="3" fontId="25" fillId="0" borderId="0" xfId="0" applyNumberFormat="1" applyFont="1" applyFill="1" applyBorder="1" applyAlignment="1"/>
    <xf numFmtId="0" fontId="27" fillId="0" borderId="0" xfId="0" applyFont="1" applyFill="1" applyAlignment="1">
      <alignment horizontal="center" vertical="center"/>
    </xf>
    <xf numFmtId="0" fontId="26" fillId="0" borderId="65" xfId="0" applyFont="1" applyFill="1" applyBorder="1"/>
    <xf numFmtId="0" fontId="26" fillId="0" borderId="66" xfId="0" applyFont="1" applyFill="1" applyBorder="1"/>
    <xf numFmtId="175" fontId="26" fillId="0" borderId="66" xfId="0" applyNumberFormat="1" applyFont="1" applyFill="1" applyBorder="1"/>
    <xf numFmtId="0" fontId="26" fillId="0" borderId="66" xfId="0" applyFont="1" applyFill="1" applyBorder="1" applyAlignment="1">
      <alignment horizontal="left" indent="1"/>
    </xf>
    <xf numFmtId="0" fontId="26" fillId="0" borderId="67" xfId="0" applyFont="1" applyFill="1" applyBorder="1"/>
    <xf numFmtId="0" fontId="26" fillId="0" borderId="32" xfId="0" applyFont="1" applyFill="1" applyBorder="1"/>
    <xf numFmtId="175" fontId="24" fillId="0" borderId="0" xfId="0" applyNumberFormat="1" applyFont="1" applyFill="1" applyBorder="1"/>
    <xf numFmtId="0" fontId="24" fillId="0" borderId="0" xfId="0" applyFont="1" applyFill="1" applyBorder="1" applyAlignment="1">
      <alignment horizontal="left" indent="1"/>
    </xf>
    <xf numFmtId="0" fontId="24" fillId="0" borderId="68" xfId="0" applyFont="1" applyFill="1" applyBorder="1"/>
    <xf numFmtId="0" fontId="26" fillId="0" borderId="32" xfId="0" applyFont="1" applyFill="1" applyBorder="1" applyAlignment="1">
      <alignment horizontal="center"/>
    </xf>
    <xf numFmtId="176" fontId="24" fillId="0" borderId="0" xfId="0" applyNumberFormat="1" applyFont="1" applyFill="1" applyBorder="1"/>
    <xf numFmtId="0" fontId="19" fillId="0" borderId="68" xfId="2" applyFont="1" applyFill="1" applyBorder="1" applyAlignment="1" applyProtection="1">
      <alignment horizontal="center" vertical="center"/>
    </xf>
    <xf numFmtId="0" fontId="26" fillId="0" borderId="0" xfId="0" applyFont="1" applyFill="1" applyBorder="1"/>
    <xf numFmtId="176" fontId="26" fillId="0" borderId="0" xfId="0" applyNumberFormat="1" applyFont="1" applyFill="1" applyBorder="1"/>
    <xf numFmtId="0" fontId="26" fillId="0" borderId="68" xfId="0" applyFont="1" applyFill="1" applyBorder="1"/>
    <xf numFmtId="177" fontId="24" fillId="0" borderId="0" xfId="0" applyNumberFormat="1" applyFont="1" applyFill="1" applyBorder="1"/>
    <xf numFmtId="0" fontId="24" fillId="0" borderId="0" xfId="0" applyFont="1" applyFill="1" applyBorder="1" applyAlignment="1">
      <alignment horizontal="right"/>
    </xf>
    <xf numFmtId="172" fontId="24" fillId="0" borderId="0" xfId="0" applyNumberFormat="1" applyFont="1" applyFill="1" applyBorder="1"/>
    <xf numFmtId="0" fontId="28" fillId="0" borderId="0" xfId="0" applyFont="1" applyFill="1" applyBorder="1"/>
    <xf numFmtId="0" fontId="26" fillId="0" borderId="69" xfId="0" applyFont="1" applyFill="1" applyBorder="1"/>
    <xf numFmtId="0" fontId="28" fillId="0" borderId="15" xfId="0" applyFont="1" applyFill="1" applyBorder="1"/>
    <xf numFmtId="0" fontId="24" fillId="0" borderId="15" xfId="0" applyFont="1" applyFill="1" applyBorder="1"/>
    <xf numFmtId="176" fontId="26" fillId="0" borderId="15" xfId="0" applyNumberFormat="1" applyFont="1" applyFill="1" applyBorder="1"/>
    <xf numFmtId="0" fontId="24" fillId="0" borderId="43" xfId="0" applyFont="1" applyFill="1" applyBorder="1"/>
    <xf numFmtId="0" fontId="24" fillId="0" borderId="66" xfId="0" applyFont="1" applyFill="1" applyBorder="1"/>
    <xf numFmtId="176" fontId="24" fillId="0" borderId="66" xfId="0" applyNumberFormat="1" applyFont="1" applyFill="1" applyBorder="1"/>
    <xf numFmtId="0" fontId="24" fillId="0" borderId="67" xfId="0" applyFont="1" applyFill="1" applyBorder="1"/>
    <xf numFmtId="178" fontId="24" fillId="0" borderId="0" xfId="0" applyNumberFormat="1" applyFont="1" applyFill="1" applyBorder="1"/>
    <xf numFmtId="171" fontId="24" fillId="0" borderId="0" xfId="0" applyNumberFormat="1" applyFont="1" applyFill="1" applyBorder="1"/>
    <xf numFmtId="0" fontId="26" fillId="0" borderId="15" xfId="0" applyFont="1" applyFill="1" applyBorder="1"/>
    <xf numFmtId="0" fontId="24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33" fillId="0" borderId="0" xfId="0" applyFont="1" applyFill="1" applyBorder="1"/>
    <xf numFmtId="0" fontId="33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3" fillId="0" borderId="0" xfId="2" applyFont="1" applyFill="1" applyBorder="1" applyAlignment="1" applyProtection="1">
      <alignment vertical="center"/>
    </xf>
    <xf numFmtId="3" fontId="21" fillId="0" borderId="9" xfId="0" applyNumberFormat="1" applyFont="1" applyFill="1" applyBorder="1" applyAlignment="1">
      <alignment horizontal="center" vertical="center"/>
    </xf>
    <xf numFmtId="3" fontId="21" fillId="0" borderId="26" xfId="0" applyNumberFormat="1" applyFont="1" applyFill="1" applyBorder="1" applyAlignment="1">
      <alignment horizontal="center" vertical="center"/>
    </xf>
    <xf numFmtId="172" fontId="21" fillId="0" borderId="6" xfId="0" applyNumberFormat="1" applyFont="1" applyFill="1" applyBorder="1" applyAlignment="1">
      <alignment horizontal="center" vertical="center"/>
    </xf>
    <xf numFmtId="3" fontId="21" fillId="0" borderId="14" xfId="0" applyNumberFormat="1" applyFont="1" applyFill="1" applyBorder="1" applyAlignment="1">
      <alignment horizontal="center" vertical="center"/>
    </xf>
    <xf numFmtId="3" fontId="21" fillId="0" borderId="6" xfId="0" applyNumberFormat="1" applyFont="1" applyFill="1" applyBorder="1" applyAlignment="1">
      <alignment horizontal="center" vertical="center"/>
    </xf>
    <xf numFmtId="3" fontId="21" fillId="0" borderId="30" xfId="0" applyNumberFormat="1" applyFont="1" applyFill="1" applyBorder="1" applyAlignment="1">
      <alignment horizontal="center" vertical="center"/>
    </xf>
    <xf numFmtId="3" fontId="21" fillId="0" borderId="28" xfId="0" applyNumberFormat="1" applyFont="1" applyFill="1" applyBorder="1" applyAlignment="1">
      <alignment horizontal="center" vertical="center"/>
    </xf>
    <xf numFmtId="9" fontId="21" fillId="0" borderId="6" xfId="7" applyFont="1" applyFill="1" applyBorder="1" applyAlignment="1" applyProtection="1">
      <alignment horizontal="center" vertical="center"/>
    </xf>
    <xf numFmtId="3" fontId="23" fillId="0" borderId="6" xfId="0" applyNumberFormat="1" applyFont="1" applyFill="1" applyBorder="1" applyAlignment="1">
      <alignment horizontal="center" vertical="center"/>
    </xf>
    <xf numFmtId="3" fontId="23" fillId="0" borderId="30" xfId="0" applyNumberFormat="1" applyFont="1" applyFill="1" applyBorder="1" applyAlignment="1">
      <alignment horizontal="center" vertical="center"/>
    </xf>
    <xf numFmtId="3" fontId="21" fillId="0" borderId="34" xfId="0" applyNumberFormat="1" applyFont="1" applyFill="1" applyBorder="1" applyAlignment="1">
      <alignment horizontal="center" vertical="center"/>
    </xf>
    <xf numFmtId="3" fontId="21" fillId="0" borderId="35" xfId="0" applyNumberFormat="1" applyFont="1" applyFill="1" applyBorder="1" applyAlignment="1">
      <alignment horizontal="center" vertical="center"/>
    </xf>
    <xf numFmtId="0" fontId="3" fillId="0" borderId="0" xfId="2" applyFont="1" applyFill="1" applyAlignment="1" applyProtection="1"/>
    <xf numFmtId="0" fontId="3" fillId="0" borderId="0" xfId="2" applyFont="1" applyFill="1" applyBorder="1" applyAlignment="1" applyProtection="1">
      <alignment horizontal="right" vertical="center"/>
    </xf>
    <xf numFmtId="0" fontId="3" fillId="0" borderId="0" xfId="2" applyFont="1" applyFill="1" applyBorder="1" applyAlignment="1" applyProtection="1"/>
    <xf numFmtId="0" fontId="34" fillId="0" borderId="0" xfId="0" applyFont="1" applyFill="1" applyAlignment="1">
      <alignment horizontal="center"/>
    </xf>
    <xf numFmtId="0" fontId="3" fillId="0" borderId="0" xfId="2" applyFont="1" applyFill="1" applyBorder="1" applyAlignment="1" applyProtection="1">
      <alignment horizontal="center" vertical="center"/>
    </xf>
    <xf numFmtId="0" fontId="33" fillId="0" borderId="0" xfId="0" applyFont="1" applyFill="1"/>
    <xf numFmtId="3" fontId="33" fillId="0" borderId="0" xfId="0" applyNumberFormat="1" applyFont="1" applyFill="1"/>
    <xf numFmtId="0" fontId="32" fillId="0" borderId="0" xfId="0" applyFont="1" applyFill="1"/>
    <xf numFmtId="0" fontId="32" fillId="0" borderId="0" xfId="0" applyFont="1" applyFill="1" applyBorder="1" applyAlignment="1">
      <alignment horizontal="center" vertical="top"/>
    </xf>
    <xf numFmtId="3" fontId="33" fillId="0" borderId="0" xfId="4" applyNumberFormat="1" applyFont="1" applyFill="1" applyBorder="1" applyAlignment="1" applyProtection="1"/>
    <xf numFmtId="3" fontId="33" fillId="0" borderId="0" xfId="0" applyNumberFormat="1" applyFont="1" applyFill="1" applyBorder="1"/>
    <xf numFmtId="3" fontId="32" fillId="0" borderId="0" xfId="0" applyNumberFormat="1" applyFont="1" applyFill="1"/>
    <xf numFmtId="3" fontId="32" fillId="0" borderId="0" xfId="4" applyNumberFormat="1" applyFont="1" applyFill="1" applyBorder="1" applyAlignment="1" applyProtection="1"/>
    <xf numFmtId="164" fontId="33" fillId="0" borderId="0" xfId="1" applyFont="1" applyFill="1" applyBorder="1" applyAlignment="1" applyProtection="1"/>
    <xf numFmtId="168" fontId="33" fillId="0" borderId="0" xfId="0" applyNumberFormat="1" applyFont="1" applyFill="1"/>
    <xf numFmtId="168" fontId="33" fillId="0" borderId="0" xfId="4" applyNumberFormat="1" applyFont="1" applyFill="1" applyBorder="1" applyAlignment="1" applyProtection="1"/>
    <xf numFmtId="168" fontId="32" fillId="0" borderId="0" xfId="4" applyNumberFormat="1" applyFont="1" applyFill="1" applyBorder="1" applyAlignment="1" applyProtection="1"/>
    <xf numFmtId="169" fontId="33" fillId="0" borderId="0" xfId="0" applyNumberFormat="1" applyFont="1" applyFill="1"/>
    <xf numFmtId="0" fontId="0" fillId="0" borderId="0" xfId="0" applyFont="1" applyFill="1"/>
    <xf numFmtId="0" fontId="3" fillId="0" borderId="0" xfId="2" applyFont="1" applyFill="1" applyBorder="1" applyAlignment="1" applyProtection="1">
      <alignment horizontal="center"/>
    </xf>
    <xf numFmtId="3" fontId="33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3" fontId="33" fillId="0" borderId="0" xfId="4" applyNumberFormat="1" applyFont="1" applyFill="1" applyBorder="1" applyAlignment="1" applyProtection="1">
      <alignment horizontal="center"/>
    </xf>
    <xf numFmtId="0" fontId="3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37" fillId="0" borderId="0" xfId="0" applyFont="1" applyFill="1"/>
    <xf numFmtId="0" fontId="37" fillId="0" borderId="0" xfId="0" applyFont="1" applyFill="1" applyAlignment="1">
      <alignment vertical="top"/>
    </xf>
    <xf numFmtId="0" fontId="31" fillId="0" borderId="0" xfId="0" applyFont="1" applyFill="1"/>
    <xf numFmtId="3" fontId="31" fillId="0" borderId="0" xfId="0" applyNumberFormat="1" applyFont="1" applyFill="1"/>
    <xf numFmtId="0" fontId="31" fillId="0" borderId="0" xfId="0" applyFont="1" applyFill="1" applyProtection="1"/>
    <xf numFmtId="4" fontId="31" fillId="0" borderId="0" xfId="0" applyNumberFormat="1" applyFont="1" applyFill="1" applyProtection="1"/>
    <xf numFmtId="3" fontId="31" fillId="0" borderId="0" xfId="0" applyNumberFormat="1" applyFont="1" applyFill="1" applyProtection="1"/>
    <xf numFmtId="0" fontId="40" fillId="0" borderId="0" xfId="0" applyFont="1" applyFill="1" applyAlignment="1">
      <alignment vertical="center"/>
    </xf>
    <xf numFmtId="0" fontId="40" fillId="0" borderId="17" xfId="0" applyFont="1" applyFill="1" applyBorder="1" applyAlignment="1" applyProtection="1">
      <alignment vertical="center"/>
    </xf>
    <xf numFmtId="0" fontId="40" fillId="0" borderId="18" xfId="0" applyFont="1" applyFill="1" applyBorder="1" applyAlignment="1" applyProtection="1">
      <alignment horizontal="center" vertical="center"/>
    </xf>
    <xf numFmtId="3" fontId="40" fillId="0" borderId="18" xfId="0" applyNumberFormat="1" applyFont="1" applyFill="1" applyBorder="1" applyAlignment="1" applyProtection="1">
      <alignment horizontal="center" vertical="center"/>
    </xf>
    <xf numFmtId="0" fontId="40" fillId="0" borderId="45" xfId="0" applyFont="1" applyFill="1" applyBorder="1" applyAlignment="1" applyProtection="1">
      <alignment horizontal="center" vertical="center"/>
    </xf>
    <xf numFmtId="0" fontId="40" fillId="0" borderId="46" xfId="0" applyFont="1" applyFill="1" applyBorder="1" applyAlignment="1" applyProtection="1">
      <alignment horizontal="center" vertical="center"/>
    </xf>
    <xf numFmtId="3" fontId="40" fillId="0" borderId="19" xfId="0" applyNumberFormat="1" applyFont="1" applyFill="1" applyBorder="1" applyAlignment="1" applyProtection="1">
      <alignment horizontal="center" vertical="center"/>
    </xf>
    <xf numFmtId="0" fontId="40" fillId="0" borderId="20" xfId="0" applyFont="1" applyFill="1" applyBorder="1" applyAlignment="1" applyProtection="1">
      <alignment horizontal="center" vertical="center"/>
    </xf>
    <xf numFmtId="0" fontId="40" fillId="0" borderId="9" xfId="0" applyFont="1" applyFill="1" applyBorder="1" applyAlignment="1" applyProtection="1">
      <alignment horizontal="center" vertical="center"/>
    </xf>
    <xf numFmtId="3" fontId="40" fillId="0" borderId="9" xfId="0" applyNumberFormat="1" applyFont="1" applyFill="1" applyBorder="1" applyAlignment="1" applyProtection="1">
      <alignment horizontal="center" vertical="center"/>
    </xf>
    <xf numFmtId="3" fontId="40" fillId="0" borderId="21" xfId="0" applyNumberFormat="1" applyFont="1" applyFill="1" applyBorder="1" applyAlignment="1" applyProtection="1">
      <alignment horizontal="center" vertical="center"/>
    </xf>
    <xf numFmtId="0" fontId="40" fillId="0" borderId="0" xfId="0" applyFont="1" applyFill="1" applyAlignment="1">
      <alignment horizontal="center" vertical="center"/>
    </xf>
    <xf numFmtId="0" fontId="40" fillId="0" borderId="22" xfId="0" applyFont="1" applyFill="1" applyBorder="1" applyAlignment="1" applyProtection="1">
      <alignment horizontal="center" vertical="center"/>
    </xf>
    <xf numFmtId="0" fontId="40" fillId="0" borderId="23" xfId="0" applyFont="1" applyFill="1" applyBorder="1" applyAlignment="1" applyProtection="1">
      <alignment horizontal="center" vertical="center"/>
    </xf>
    <xf numFmtId="3" fontId="40" fillId="0" borderId="23" xfId="0" applyNumberFormat="1" applyFont="1" applyFill="1" applyBorder="1" applyAlignment="1" applyProtection="1">
      <alignment horizontal="center" vertical="center"/>
    </xf>
    <xf numFmtId="9" fontId="40" fillId="0" borderId="23" xfId="0" applyNumberFormat="1" applyFont="1" applyFill="1" applyBorder="1" applyAlignment="1" applyProtection="1">
      <alignment horizontal="center" vertical="center"/>
    </xf>
    <xf numFmtId="1" fontId="40" fillId="0" borderId="23" xfId="0" applyNumberFormat="1" applyFont="1" applyFill="1" applyBorder="1" applyAlignment="1" applyProtection="1">
      <alignment horizontal="center" vertical="center"/>
    </xf>
    <xf numFmtId="49" fontId="40" fillId="0" borderId="23" xfId="0" applyNumberFormat="1" applyFont="1" applyFill="1" applyBorder="1" applyAlignment="1" applyProtection="1">
      <alignment horizontal="center" vertical="center"/>
    </xf>
    <xf numFmtId="0" fontId="40" fillId="0" borderId="23" xfId="0" applyFont="1" applyFill="1" applyBorder="1" applyAlignment="1" applyProtection="1">
      <alignment horizontal="center" vertical="center" wrapText="1"/>
    </xf>
    <xf numFmtId="3" fontId="40" fillId="0" borderId="24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1" fillId="0" borderId="56" xfId="0" applyFont="1" applyFill="1" applyBorder="1" applyAlignment="1" applyProtection="1">
      <alignment horizontal="center" vertical="center"/>
    </xf>
    <xf numFmtId="14" fontId="41" fillId="0" borderId="2" xfId="0" applyNumberFormat="1" applyFont="1" applyFill="1" applyBorder="1" applyAlignment="1" applyProtection="1">
      <alignment horizontal="center" vertical="center"/>
    </xf>
    <xf numFmtId="3" fontId="41" fillId="0" borderId="2" xfId="0" applyNumberFormat="1" applyFont="1" applyFill="1" applyBorder="1" applyAlignment="1" applyProtection="1">
      <alignment horizontal="center" vertical="center"/>
    </xf>
    <xf numFmtId="180" fontId="41" fillId="0" borderId="2" xfId="0" applyNumberFormat="1" applyFont="1" applyFill="1" applyBorder="1" applyAlignment="1" applyProtection="1">
      <alignment horizontal="center" vertical="center"/>
    </xf>
    <xf numFmtId="9" fontId="41" fillId="0" borderId="2" xfId="0" applyNumberFormat="1" applyFont="1" applyFill="1" applyBorder="1" applyAlignment="1" applyProtection="1">
      <alignment horizontal="center" vertical="center"/>
    </xf>
    <xf numFmtId="171" fontId="41" fillId="0" borderId="2" xfId="0" applyNumberFormat="1" applyFont="1" applyFill="1" applyBorder="1" applyAlignment="1" applyProtection="1">
      <alignment horizontal="center" vertical="center"/>
    </xf>
    <xf numFmtId="173" fontId="41" fillId="0" borderId="2" xfId="0" applyNumberFormat="1" applyFont="1" applyFill="1" applyBorder="1" applyAlignment="1" applyProtection="1">
      <alignment horizontal="center" vertical="center"/>
    </xf>
    <xf numFmtId="3" fontId="41" fillId="0" borderId="57" xfId="0" applyNumberFormat="1" applyFont="1" applyFill="1" applyBorder="1" applyAlignment="1" applyProtection="1">
      <alignment horizontal="center" vertical="center"/>
    </xf>
    <xf numFmtId="0" fontId="41" fillId="0" borderId="0" xfId="0" applyFont="1" applyFill="1" applyAlignment="1">
      <alignment horizontal="center" vertical="center"/>
    </xf>
    <xf numFmtId="0" fontId="41" fillId="0" borderId="56" xfId="0" applyFont="1" applyFill="1" applyBorder="1" applyAlignment="1">
      <alignment horizontal="center" vertical="center"/>
    </xf>
    <xf numFmtId="14" fontId="41" fillId="0" borderId="2" xfId="0" applyNumberFormat="1" applyFont="1" applyFill="1" applyBorder="1" applyAlignment="1">
      <alignment horizontal="center" vertical="center"/>
    </xf>
    <xf numFmtId="180" fontId="41" fillId="0" borderId="2" xfId="0" applyNumberFormat="1" applyFont="1" applyFill="1" applyBorder="1" applyAlignment="1">
      <alignment horizontal="center" vertical="center"/>
    </xf>
    <xf numFmtId="9" fontId="41" fillId="0" borderId="2" xfId="0" applyNumberFormat="1" applyFont="1" applyFill="1" applyBorder="1" applyAlignment="1">
      <alignment horizontal="center" vertical="center"/>
    </xf>
    <xf numFmtId="171" fontId="41" fillId="0" borderId="2" xfId="0" applyNumberFormat="1" applyFont="1" applyFill="1" applyBorder="1" applyAlignment="1">
      <alignment horizontal="center" vertical="center"/>
    </xf>
    <xf numFmtId="0" fontId="31" fillId="0" borderId="29" xfId="0" applyFont="1" applyFill="1" applyBorder="1"/>
    <xf numFmtId="0" fontId="31" fillId="0" borderId="6" xfId="0" applyFont="1" applyFill="1" applyBorder="1"/>
    <xf numFmtId="3" fontId="31" fillId="0" borderId="6" xfId="0" applyNumberFormat="1" applyFont="1" applyFill="1" applyBorder="1" applyProtection="1"/>
    <xf numFmtId="174" fontId="31" fillId="0" borderId="6" xfId="0" applyNumberFormat="1" applyFont="1" applyFill="1" applyBorder="1" applyProtection="1"/>
    <xf numFmtId="173" fontId="31" fillId="0" borderId="6" xfId="0" applyNumberFormat="1" applyFont="1" applyFill="1" applyBorder="1" applyProtection="1"/>
    <xf numFmtId="3" fontId="31" fillId="0" borderId="30" xfId="0" applyNumberFormat="1" applyFont="1" applyFill="1" applyBorder="1" applyProtection="1"/>
    <xf numFmtId="0" fontId="31" fillId="0" borderId="0" xfId="0" applyFont="1" applyFill="1" applyBorder="1"/>
    <xf numFmtId="0" fontId="37" fillId="0" borderId="0" xfId="0" applyFont="1" applyFill="1" applyAlignment="1">
      <alignment vertical="center"/>
    </xf>
    <xf numFmtId="0" fontId="37" fillId="0" borderId="18" xfId="0" applyFont="1" applyFill="1" applyBorder="1" applyAlignment="1">
      <alignment vertical="center"/>
    </xf>
    <xf numFmtId="3" fontId="37" fillId="0" borderId="18" xfId="0" applyNumberFormat="1" applyFont="1" applyFill="1" applyBorder="1" applyAlignment="1" applyProtection="1">
      <alignment horizontal="center" vertical="center"/>
    </xf>
    <xf numFmtId="174" fontId="37" fillId="0" borderId="18" xfId="0" applyNumberFormat="1" applyFont="1" applyFill="1" applyBorder="1" applyAlignment="1" applyProtection="1">
      <alignment horizontal="center" vertical="center"/>
    </xf>
    <xf numFmtId="0" fontId="37" fillId="0" borderId="18" xfId="0" applyFont="1" applyFill="1" applyBorder="1" applyAlignment="1">
      <alignment horizontal="center" vertical="center"/>
    </xf>
    <xf numFmtId="3" fontId="37" fillId="0" borderId="19" xfId="0" applyNumberFormat="1" applyFont="1" applyFill="1" applyBorder="1" applyAlignment="1" applyProtection="1">
      <alignment horizontal="center" vertical="center"/>
    </xf>
    <xf numFmtId="173" fontId="37" fillId="0" borderId="18" xfId="0" applyNumberFormat="1" applyFont="1" applyFill="1" applyBorder="1" applyAlignment="1" applyProtection="1">
      <alignment horizontal="center" vertical="center"/>
    </xf>
    <xf numFmtId="3" fontId="37" fillId="0" borderId="61" xfId="0" applyNumberFormat="1" applyFont="1" applyFill="1" applyBorder="1" applyAlignment="1" applyProtection="1">
      <alignment horizontal="center" vertical="center"/>
    </xf>
    <xf numFmtId="0" fontId="31" fillId="0" borderId="0" xfId="0" applyFont="1" applyFill="1" applyAlignment="1">
      <alignment vertical="center"/>
    </xf>
    <xf numFmtId="0" fontId="41" fillId="0" borderId="62" xfId="0" applyFont="1" applyFill="1" applyBorder="1" applyAlignment="1">
      <alignment horizontal="center" vertical="center"/>
    </xf>
    <xf numFmtId="14" fontId="41" fillId="0" borderId="63" xfId="0" applyNumberFormat="1" applyFont="1" applyFill="1" applyBorder="1" applyAlignment="1" applyProtection="1">
      <alignment horizontal="center" vertical="center"/>
    </xf>
    <xf numFmtId="3" fontId="41" fillId="0" borderId="63" xfId="0" applyNumberFormat="1" applyFont="1" applyFill="1" applyBorder="1" applyAlignment="1" applyProtection="1">
      <alignment horizontal="center" vertical="center"/>
    </xf>
    <xf numFmtId="180" fontId="41" fillId="0" borderId="63" xfId="0" applyNumberFormat="1" applyFont="1" applyFill="1" applyBorder="1" applyAlignment="1" applyProtection="1">
      <alignment horizontal="center" vertical="center"/>
    </xf>
    <xf numFmtId="9" fontId="41" fillId="0" borderId="63" xfId="0" applyNumberFormat="1" applyFont="1" applyFill="1" applyBorder="1" applyAlignment="1" applyProtection="1">
      <alignment horizontal="center" vertical="center"/>
    </xf>
    <xf numFmtId="3" fontId="37" fillId="0" borderId="23" xfId="0" applyNumberFormat="1" applyFont="1" applyFill="1" applyBorder="1" applyAlignment="1" applyProtection="1">
      <alignment horizontal="center" vertical="center"/>
    </xf>
    <xf numFmtId="171" fontId="41" fillId="0" borderId="63" xfId="0" applyNumberFormat="1" applyFont="1" applyFill="1" applyBorder="1" applyAlignment="1" applyProtection="1">
      <alignment horizontal="center" vertical="center"/>
    </xf>
    <xf numFmtId="173" fontId="41" fillId="0" borderId="63" xfId="0" applyNumberFormat="1" applyFont="1" applyFill="1" applyBorder="1" applyAlignment="1" applyProtection="1">
      <alignment horizontal="center" vertical="center"/>
    </xf>
    <xf numFmtId="3" fontId="41" fillId="0" borderId="64" xfId="0" applyNumberFormat="1" applyFont="1" applyFill="1" applyBorder="1" applyAlignment="1" applyProtection="1">
      <alignment horizontal="center" vertical="center"/>
    </xf>
    <xf numFmtId="0" fontId="3" fillId="0" borderId="39" xfId="2" applyFont="1" applyFill="1" applyBorder="1" applyAlignment="1" applyProtection="1">
      <alignment horizontal="right" vertical="center"/>
    </xf>
    <xf numFmtId="3" fontId="41" fillId="0" borderId="6" xfId="0" applyNumberFormat="1" applyFont="1" applyFill="1" applyBorder="1" applyAlignment="1" applyProtection="1">
      <alignment horizontal="center" vertical="center"/>
    </xf>
    <xf numFmtId="3" fontId="41" fillId="0" borderId="37" xfId="0" applyNumberFormat="1" applyFont="1" applyFill="1" applyBorder="1" applyAlignment="1" applyProtection="1">
      <alignment horizontal="center" vertical="center"/>
    </xf>
    <xf numFmtId="0" fontId="41" fillId="0" borderId="33" xfId="0" applyFont="1" applyFill="1" applyBorder="1" applyAlignment="1">
      <alignment horizontal="center" vertical="center"/>
    </xf>
    <xf numFmtId="14" fontId="41" fillId="0" borderId="34" xfId="0" applyNumberFormat="1" applyFont="1" applyFill="1" applyBorder="1" applyAlignment="1" applyProtection="1">
      <alignment horizontal="center" vertical="center"/>
    </xf>
    <xf numFmtId="3" fontId="41" fillId="0" borderId="34" xfId="0" applyNumberFormat="1" applyFont="1" applyFill="1" applyBorder="1" applyAlignment="1" applyProtection="1">
      <alignment horizontal="center" vertical="center"/>
    </xf>
    <xf numFmtId="9" fontId="41" fillId="0" borderId="34" xfId="0" applyNumberFormat="1" applyFont="1" applyFill="1" applyBorder="1" applyAlignment="1" applyProtection="1">
      <alignment horizontal="center" vertical="center"/>
    </xf>
    <xf numFmtId="171" fontId="41" fillId="0" borderId="34" xfId="0" applyNumberFormat="1" applyFont="1" applyFill="1" applyBorder="1" applyAlignment="1" applyProtection="1">
      <alignment horizontal="center" vertical="center"/>
    </xf>
    <xf numFmtId="173" fontId="41" fillId="0" borderId="34" xfId="0" applyNumberFormat="1" applyFont="1" applyFill="1" applyBorder="1" applyAlignment="1" applyProtection="1">
      <alignment horizontal="center" vertical="center"/>
    </xf>
    <xf numFmtId="3" fontId="41" fillId="0" borderId="35" xfId="0" applyNumberFormat="1" applyFont="1" applyFill="1" applyBorder="1" applyAlignment="1" applyProtection="1">
      <alignment horizontal="center" vertical="center"/>
    </xf>
    <xf numFmtId="3" fontId="37" fillId="0" borderId="51" xfId="0" applyNumberFormat="1" applyFont="1" applyFill="1" applyBorder="1" applyAlignment="1" applyProtection="1">
      <alignment horizontal="center" vertical="center"/>
    </xf>
    <xf numFmtId="3" fontId="37" fillId="0" borderId="58" xfId="0" applyNumberFormat="1" applyFont="1" applyFill="1" applyBorder="1"/>
    <xf numFmtId="3" fontId="31" fillId="0" borderId="0" xfId="0" applyNumberFormat="1" applyFont="1" applyFill="1" applyBorder="1"/>
    <xf numFmtId="0" fontId="31" fillId="0" borderId="55" xfId="0" applyFont="1" applyFill="1" applyBorder="1"/>
    <xf numFmtId="3" fontId="37" fillId="0" borderId="0" xfId="0" applyNumberFormat="1" applyFont="1" applyFill="1"/>
    <xf numFmtId="0" fontId="44" fillId="0" borderId="0" xfId="2" applyFont="1" applyFill="1" applyBorder="1" applyAlignment="1" applyProtection="1">
      <alignment horizontal="right" vertical="center"/>
    </xf>
    <xf numFmtId="3" fontId="31" fillId="0" borderId="58" xfId="0" applyNumberFormat="1" applyFont="1" applyFill="1" applyBorder="1"/>
    <xf numFmtId="0" fontId="45" fillId="0" borderId="0" xfId="0" applyFont="1" applyFill="1" applyBorder="1" applyAlignment="1">
      <alignment horizontal="center"/>
    </xf>
    <xf numFmtId="0" fontId="3" fillId="0" borderId="55" xfId="2" applyFont="1" applyFill="1" applyBorder="1" applyAlignment="1" applyProtection="1">
      <alignment horizontal="right" vertical="center"/>
    </xf>
    <xf numFmtId="0" fontId="39" fillId="0" borderId="51" xfId="0" applyFont="1" applyFill="1" applyBorder="1" applyAlignment="1">
      <alignment horizontal="center"/>
    </xf>
    <xf numFmtId="0" fontId="45" fillId="0" borderId="16" xfId="0" applyFont="1" applyFill="1" applyBorder="1" applyAlignment="1">
      <alignment horizontal="center"/>
    </xf>
    <xf numFmtId="3" fontId="37" fillId="0" borderId="16" xfId="0" applyNumberFormat="1" applyFont="1" applyFill="1" applyBorder="1"/>
    <xf numFmtId="0" fontId="39" fillId="0" borderId="16" xfId="0" applyFont="1" applyFill="1" applyBorder="1" applyAlignment="1">
      <alignment horizontal="center"/>
    </xf>
    <xf numFmtId="0" fontId="31" fillId="0" borderId="16" xfId="0" applyFont="1" applyFill="1" applyBorder="1"/>
    <xf numFmtId="0" fontId="3" fillId="0" borderId="59" xfId="2" applyFont="1" applyFill="1" applyBorder="1" applyAlignment="1" applyProtection="1">
      <alignment horizontal="right" vertical="center"/>
    </xf>
    <xf numFmtId="3" fontId="39" fillId="0" borderId="0" xfId="0" applyNumberFormat="1" applyFont="1" applyFill="1" applyBorder="1" applyAlignment="1">
      <alignment horizontal="center"/>
    </xf>
    <xf numFmtId="3" fontId="39" fillId="0" borderId="0" xfId="0" applyNumberFormat="1" applyFont="1" applyFill="1" applyAlignment="1">
      <alignment horizontal="center"/>
    </xf>
    <xf numFmtId="0" fontId="46" fillId="0" borderId="0" xfId="0" applyFont="1" applyFill="1" applyAlignment="1">
      <alignment horizontal="center"/>
    </xf>
    <xf numFmtId="0" fontId="38" fillId="0" borderId="0" xfId="0" applyFont="1" applyFill="1"/>
    <xf numFmtId="0" fontId="32" fillId="0" borderId="0" xfId="0" applyFont="1" applyFill="1" applyAlignment="1">
      <alignment vertical="center"/>
    </xf>
    <xf numFmtId="3" fontId="32" fillId="0" borderId="0" xfId="0" applyNumberFormat="1" applyFont="1" applyFill="1" applyAlignment="1">
      <alignment vertical="center"/>
    </xf>
    <xf numFmtId="0" fontId="32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3" fontId="33" fillId="0" borderId="0" xfId="0" applyNumberFormat="1" applyFont="1" applyFill="1" applyAlignment="1">
      <alignment vertical="center"/>
    </xf>
    <xf numFmtId="14" fontId="33" fillId="0" borderId="0" xfId="0" applyNumberFormat="1" applyFont="1" applyFill="1" applyAlignment="1">
      <alignment horizontal="center" vertical="center"/>
    </xf>
    <xf numFmtId="0" fontId="47" fillId="0" borderId="0" xfId="0" applyFont="1" applyFill="1" applyAlignment="1">
      <alignment vertical="center"/>
    </xf>
    <xf numFmtId="3" fontId="47" fillId="0" borderId="0" xfId="0" applyNumberFormat="1" applyFont="1" applyFill="1" applyAlignment="1">
      <alignment vertical="center"/>
    </xf>
    <xf numFmtId="0" fontId="39" fillId="0" borderId="0" xfId="0" applyFont="1" applyFill="1" applyAlignment="1">
      <alignment vertical="center"/>
    </xf>
    <xf numFmtId="3" fontId="39" fillId="0" borderId="0" xfId="0" applyNumberFormat="1" applyFont="1" applyFill="1" applyAlignment="1">
      <alignment vertical="center"/>
    </xf>
    <xf numFmtId="0" fontId="33" fillId="0" borderId="12" xfId="0" applyFont="1" applyFill="1" applyBorder="1" applyAlignment="1">
      <alignment horizontal="left" vertical="center" indent="4"/>
    </xf>
    <xf numFmtId="172" fontId="33" fillId="0" borderId="0" xfId="0" applyNumberFormat="1" applyFont="1" applyFill="1" applyAlignment="1">
      <alignment vertical="center"/>
    </xf>
    <xf numFmtId="0" fontId="33" fillId="0" borderId="0" xfId="0" applyFont="1" applyFill="1" applyAlignment="1">
      <alignment horizontal="left" vertical="center" indent="4"/>
    </xf>
    <xf numFmtId="3" fontId="32" fillId="0" borderId="0" xfId="0" applyNumberFormat="1" applyFont="1" applyFill="1" applyBorder="1" applyAlignment="1">
      <alignment vertical="center"/>
    </xf>
    <xf numFmtId="3" fontId="33" fillId="0" borderId="0" xfId="0" applyNumberFormat="1" applyFont="1" applyFill="1" applyBorder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3" fontId="33" fillId="0" borderId="0" xfId="0" applyNumberFormat="1" applyFont="1" applyFill="1" applyAlignment="1">
      <alignment horizontal="center" vertical="center"/>
    </xf>
    <xf numFmtId="10" fontId="47" fillId="0" borderId="0" xfId="0" applyNumberFormat="1" applyFont="1" applyFill="1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3" fontId="47" fillId="0" borderId="0" xfId="0" applyNumberFormat="1" applyFont="1" applyFill="1" applyAlignment="1">
      <alignment horizontal="center" vertical="center"/>
    </xf>
    <xf numFmtId="3" fontId="47" fillId="0" borderId="16" xfId="0" applyNumberFormat="1" applyFont="1" applyFill="1" applyBorder="1" applyAlignment="1">
      <alignment horizontal="center" vertical="center"/>
    </xf>
    <xf numFmtId="3" fontId="39" fillId="0" borderId="0" xfId="0" applyNumberFormat="1" applyFont="1" applyFill="1" applyAlignment="1">
      <alignment horizontal="center" vertical="center"/>
    </xf>
    <xf numFmtId="179" fontId="47" fillId="0" borderId="16" xfId="0" applyNumberFormat="1" applyFont="1" applyFill="1" applyBorder="1" applyAlignment="1">
      <alignment horizontal="center" vertical="center"/>
    </xf>
    <xf numFmtId="172" fontId="47" fillId="0" borderId="0" xfId="0" applyNumberFormat="1" applyFont="1" applyFill="1" applyBorder="1" applyAlignment="1">
      <alignment horizontal="center" vertical="center"/>
    </xf>
    <xf numFmtId="179" fontId="47" fillId="0" borderId="0" xfId="0" applyNumberFormat="1" applyFont="1" applyFill="1" applyAlignment="1">
      <alignment horizontal="center" vertical="center"/>
    </xf>
    <xf numFmtId="3" fontId="48" fillId="0" borderId="12" xfId="0" applyNumberFormat="1" applyFont="1" applyFill="1" applyBorder="1" applyAlignment="1">
      <alignment horizontal="center" vertical="center"/>
    </xf>
    <xf numFmtId="0" fontId="38" fillId="0" borderId="0" xfId="0" applyFont="1" applyFill="1" applyAlignment="1">
      <alignment horizontal="center"/>
    </xf>
    <xf numFmtId="0" fontId="38" fillId="0" borderId="0" xfId="0" applyFont="1" applyFill="1" applyAlignment="1">
      <alignment horizontal="center" vertical="center"/>
    </xf>
    <xf numFmtId="3" fontId="41" fillId="4" borderId="23" xfId="0" applyNumberFormat="1" applyFont="1" applyFill="1" applyBorder="1" applyAlignment="1" applyProtection="1">
      <alignment horizontal="center" vertical="center"/>
    </xf>
    <xf numFmtId="3" fontId="42" fillId="0" borderId="34" xfId="0" applyNumberFormat="1" applyFont="1" applyFill="1" applyBorder="1" applyAlignment="1">
      <alignment horizontal="center" vertical="center"/>
    </xf>
    <xf numFmtId="0" fontId="45" fillId="0" borderId="2" xfId="0" applyFont="1" applyFill="1" applyBorder="1" applyAlignment="1">
      <alignment horizontal="center"/>
    </xf>
    <xf numFmtId="0" fontId="38" fillId="0" borderId="2" xfId="0" applyFont="1" applyFill="1" applyBorder="1"/>
    <xf numFmtId="0" fontId="38" fillId="0" borderId="7" xfId="0" applyFont="1" applyFill="1" applyBorder="1"/>
    <xf numFmtId="0" fontId="38" fillId="0" borderId="0" xfId="0" applyFont="1" applyFill="1" applyBorder="1"/>
    <xf numFmtId="0" fontId="3" fillId="0" borderId="7" xfId="2" applyFont="1" applyFill="1" applyBorder="1" applyAlignment="1" applyProtection="1">
      <alignment vertical="center"/>
    </xf>
    <xf numFmtId="0" fontId="38" fillId="0" borderId="0" xfId="0" applyFont="1"/>
    <xf numFmtId="4" fontId="38" fillId="0" borderId="0" xfId="0" applyNumberFormat="1" applyFont="1" applyFill="1" applyBorder="1"/>
    <xf numFmtId="0" fontId="45" fillId="0" borderId="2" xfId="0" applyFont="1" applyFill="1" applyBorder="1"/>
    <xf numFmtId="0" fontId="45" fillId="0" borderId="4" xfId="0" applyFont="1" applyFill="1" applyBorder="1"/>
    <xf numFmtId="0" fontId="38" fillId="0" borderId="47" xfId="0" applyFont="1" applyFill="1" applyBorder="1"/>
    <xf numFmtId="0" fontId="49" fillId="0" borderId="0" xfId="0" applyFont="1" applyFill="1"/>
    <xf numFmtId="0" fontId="38" fillId="2" borderId="0" xfId="0" applyFont="1" applyFill="1"/>
    <xf numFmtId="0" fontId="39" fillId="0" borderId="0" xfId="0" applyFont="1" applyFill="1" applyAlignment="1">
      <alignment horizontal="center"/>
    </xf>
    <xf numFmtId="4" fontId="38" fillId="0" borderId="0" xfId="0" applyNumberFormat="1" applyFont="1" applyFill="1" applyAlignment="1">
      <alignment horizontal="center"/>
    </xf>
    <xf numFmtId="0" fontId="38" fillId="0" borderId="2" xfId="0" applyFont="1" applyFill="1" applyBorder="1" applyAlignment="1">
      <alignment horizontal="center"/>
    </xf>
    <xf numFmtId="4" fontId="38" fillId="0" borderId="2" xfId="0" applyNumberFormat="1" applyFont="1" applyFill="1" applyBorder="1" applyAlignment="1">
      <alignment horizontal="center"/>
    </xf>
    <xf numFmtId="4" fontId="38" fillId="0" borderId="50" xfId="0" applyNumberFormat="1" applyFont="1" applyFill="1" applyBorder="1" applyAlignment="1">
      <alignment horizontal="center"/>
    </xf>
    <xf numFmtId="4" fontId="38" fillId="0" borderId="48" xfId="0" applyNumberFormat="1" applyFont="1" applyFill="1" applyBorder="1" applyAlignment="1">
      <alignment horizontal="center"/>
    </xf>
    <xf numFmtId="4" fontId="45" fillId="0" borderId="14" xfId="0" applyNumberFormat="1" applyFont="1" applyFill="1" applyBorder="1" applyAlignment="1">
      <alignment horizontal="center"/>
    </xf>
    <xf numFmtId="4" fontId="45" fillId="0" borderId="0" xfId="0" applyNumberFormat="1" applyFont="1" applyFill="1" applyBorder="1" applyAlignment="1">
      <alignment horizontal="center"/>
    </xf>
    <xf numFmtId="4" fontId="38" fillId="0" borderId="0" xfId="0" applyNumberFormat="1" applyFont="1" applyFill="1" applyBorder="1" applyAlignment="1">
      <alignment horizontal="center"/>
    </xf>
    <xf numFmtId="3" fontId="38" fillId="0" borderId="47" xfId="0" applyNumberFormat="1" applyFont="1" applyFill="1" applyBorder="1" applyAlignment="1">
      <alignment horizontal="center"/>
    </xf>
    <xf numFmtId="3" fontId="45" fillId="0" borderId="49" xfId="0" applyNumberFormat="1" applyFont="1" applyFill="1" applyBorder="1" applyAlignment="1">
      <alignment horizontal="center"/>
    </xf>
    <xf numFmtId="4" fontId="38" fillId="0" borderId="16" xfId="0" applyNumberFormat="1" applyFont="1" applyFill="1" applyBorder="1" applyAlignment="1">
      <alignment horizontal="center"/>
    </xf>
    <xf numFmtId="0" fontId="38" fillId="2" borderId="0" xfId="0" applyFont="1" applyFill="1" applyAlignment="1">
      <alignment horizontal="center"/>
    </xf>
    <xf numFmtId="0" fontId="32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 vertical="center"/>
    </xf>
    <xf numFmtId="10" fontId="7" fillId="0" borderId="0" xfId="7" applyNumberFormat="1" applyFill="1"/>
    <xf numFmtId="0" fontId="2" fillId="10" borderId="0" xfId="0" applyFont="1" applyFill="1" applyAlignment="1">
      <alignment horizontal="center" vertical="center"/>
    </xf>
    <xf numFmtId="3" fontId="42" fillId="10" borderId="2" xfId="0" applyNumberFormat="1" applyFont="1" applyFill="1" applyBorder="1" applyAlignment="1">
      <alignment horizontal="center" vertical="center"/>
    </xf>
    <xf numFmtId="3" fontId="31" fillId="11" borderId="0" xfId="0" applyNumberFormat="1" applyFont="1" applyFill="1"/>
    <xf numFmtId="3" fontId="31" fillId="11" borderId="0" xfId="0" applyNumberFormat="1" applyFont="1" applyFill="1" applyProtection="1"/>
    <xf numFmtId="0" fontId="40" fillId="11" borderId="46" xfId="0" applyFont="1" applyFill="1" applyBorder="1" applyAlignment="1" applyProtection="1">
      <alignment horizontal="center" vertical="center"/>
    </xf>
    <xf numFmtId="0" fontId="40" fillId="11" borderId="9" xfId="0" applyFont="1" applyFill="1" applyBorder="1" applyAlignment="1" applyProtection="1">
      <alignment horizontal="center" vertical="center"/>
    </xf>
    <xf numFmtId="0" fontId="40" fillId="11" borderId="23" xfId="0" applyFont="1" applyFill="1" applyBorder="1" applyAlignment="1" applyProtection="1">
      <alignment horizontal="center" vertical="center"/>
    </xf>
    <xf numFmtId="0" fontId="41" fillId="11" borderId="2" xfId="0" applyFont="1" applyFill="1" applyBorder="1" applyAlignment="1">
      <alignment horizontal="center" vertical="center"/>
    </xf>
    <xf numFmtId="0" fontId="31" fillId="11" borderId="6" xfId="0" applyFont="1" applyFill="1" applyBorder="1"/>
    <xf numFmtId="0" fontId="37" fillId="11" borderId="18" xfId="0" applyFont="1" applyFill="1" applyBorder="1" applyAlignment="1">
      <alignment horizontal="center" vertical="center"/>
    </xf>
    <xf numFmtId="0" fontId="41" fillId="11" borderId="63" xfId="0" applyFont="1" applyFill="1" applyBorder="1" applyAlignment="1">
      <alignment horizontal="center" vertical="center"/>
    </xf>
    <xf numFmtId="0" fontId="41" fillId="11" borderId="34" xfId="0" applyFont="1" applyFill="1" applyBorder="1" applyAlignment="1">
      <alignment horizontal="center" vertical="center"/>
    </xf>
    <xf numFmtId="0" fontId="31" fillId="11" borderId="0" xfId="0" applyFont="1" applyFill="1" applyBorder="1"/>
    <xf numFmtId="0" fontId="31" fillId="11" borderId="0" xfId="0" applyFont="1" applyFill="1"/>
    <xf numFmtId="0" fontId="33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horizontal="left" vertical="center"/>
    </xf>
    <xf numFmtId="0" fontId="33" fillId="0" borderId="0" xfId="0" applyFont="1" applyFill="1" applyBorder="1" applyAlignment="1">
      <alignment horizontal="left" vertical="center" indent="1"/>
    </xf>
    <xf numFmtId="0" fontId="33" fillId="0" borderId="0" xfId="0" applyFont="1" applyFill="1" applyBorder="1" applyAlignment="1">
      <alignment vertical="center"/>
    </xf>
    <xf numFmtId="0" fontId="50" fillId="0" borderId="0" xfId="2" applyFont="1" applyFill="1" applyBorder="1" applyAlignment="1" applyProtection="1">
      <alignment horizontal="right" vertical="center"/>
    </xf>
    <xf numFmtId="0" fontId="50" fillId="0" borderId="0" xfId="2" applyFont="1" applyFill="1" applyBorder="1" applyAlignment="1" applyProtection="1">
      <alignment horizontal="left" vertical="center"/>
    </xf>
    <xf numFmtId="0" fontId="50" fillId="0" borderId="0" xfId="2" applyFont="1" applyFill="1" applyBorder="1" applyAlignment="1" applyProtection="1">
      <alignment horizontal="left" vertical="center" indent="1"/>
    </xf>
    <xf numFmtId="0" fontId="50" fillId="0" borderId="0" xfId="2" applyFont="1" applyFill="1" applyBorder="1" applyAlignment="1" applyProtection="1">
      <alignment vertical="center"/>
    </xf>
    <xf numFmtId="0" fontId="51" fillId="0" borderId="0" xfId="2" applyFont="1" applyFill="1" applyBorder="1" applyAlignment="1" applyProtection="1">
      <alignment vertical="center"/>
    </xf>
    <xf numFmtId="0" fontId="33" fillId="0" borderId="0" xfId="0" applyFont="1" applyFill="1" applyBorder="1" applyAlignment="1">
      <alignment horizontal="left" indent="1"/>
    </xf>
    <xf numFmtId="0" fontId="33" fillId="0" borderId="0" xfId="0" applyFont="1" applyFill="1" applyAlignment="1">
      <alignment horizontal="right"/>
    </xf>
    <xf numFmtId="0" fontId="32" fillId="0" borderId="0" xfId="0" applyFont="1" applyFill="1" applyBorder="1" applyAlignment="1">
      <alignment horizontal="right"/>
    </xf>
    <xf numFmtId="3" fontId="33" fillId="0" borderId="0" xfId="0" applyNumberFormat="1" applyFont="1" applyFill="1" applyAlignment="1">
      <alignment horizontal="right"/>
    </xf>
    <xf numFmtId="0" fontId="51" fillId="0" borderId="0" xfId="2" applyFont="1" applyFill="1" applyAlignment="1" applyProtection="1"/>
    <xf numFmtId="3" fontId="33" fillId="0" borderId="0" xfId="0" applyNumberFormat="1" applyFont="1" applyFill="1" applyBorder="1" applyAlignment="1">
      <alignment horizontal="center"/>
    </xf>
    <xf numFmtId="3" fontId="33" fillId="0" borderId="0" xfId="0" applyNumberFormat="1" applyFont="1" applyFill="1" applyBorder="1" applyAlignment="1">
      <alignment horizontal="right"/>
    </xf>
    <xf numFmtId="0" fontId="32" fillId="0" borderId="0" xfId="0" applyFont="1" applyFill="1" applyBorder="1"/>
    <xf numFmtId="3" fontId="32" fillId="0" borderId="0" xfId="0" applyNumberFormat="1" applyFont="1" applyFill="1" applyAlignment="1">
      <alignment horizontal="center"/>
    </xf>
    <xf numFmtId="3" fontId="32" fillId="0" borderId="0" xfId="0" applyNumberFormat="1" applyFont="1" applyFill="1" applyBorder="1" applyAlignment="1">
      <alignment horizontal="center"/>
    </xf>
    <xf numFmtId="3" fontId="32" fillId="0" borderId="0" xfId="0" applyNumberFormat="1" applyFont="1" applyFill="1" applyAlignment="1">
      <alignment horizontal="right"/>
    </xf>
    <xf numFmtId="0" fontId="51" fillId="0" borderId="0" xfId="2" applyFont="1" applyFill="1" applyBorder="1" applyAlignment="1" applyProtection="1">
      <alignment horizontal="right" vertical="center"/>
    </xf>
    <xf numFmtId="3" fontId="33" fillId="0" borderId="15" xfId="0" applyNumberFormat="1" applyFont="1" applyFill="1" applyBorder="1" applyAlignment="1">
      <alignment horizontal="center"/>
    </xf>
    <xf numFmtId="0" fontId="50" fillId="0" borderId="0" xfId="2" applyFont="1" applyFill="1" applyAlignment="1" applyProtection="1"/>
    <xf numFmtId="0" fontId="33" fillId="0" borderId="15" xfId="0" applyFont="1" applyFill="1" applyBorder="1" applyAlignment="1">
      <alignment horizontal="center"/>
    </xf>
    <xf numFmtId="3" fontId="36" fillId="0" borderId="0" xfId="4" applyNumberFormat="1" applyFont="1" applyFill="1" applyBorder="1" applyAlignment="1" applyProtection="1">
      <alignment horizontal="center"/>
    </xf>
    <xf numFmtId="0" fontId="51" fillId="0" borderId="0" xfId="2" applyFont="1" applyFill="1" applyBorder="1" applyAlignment="1" applyProtection="1"/>
    <xf numFmtId="3" fontId="32" fillId="0" borderId="0" xfId="0" applyNumberFormat="1" applyFont="1" applyFill="1" applyBorder="1" applyAlignment="1">
      <alignment horizontal="right"/>
    </xf>
    <xf numFmtId="0" fontId="51" fillId="0" borderId="0" xfId="2" applyFont="1" applyFill="1" applyBorder="1" applyAlignment="1" applyProtection="1">
      <alignment horizontal="right"/>
    </xf>
    <xf numFmtId="3" fontId="33" fillId="0" borderId="0" xfId="4" applyNumberFormat="1" applyFont="1" applyFill="1" applyBorder="1" applyAlignment="1" applyProtection="1">
      <alignment horizontal="right"/>
    </xf>
    <xf numFmtId="166" fontId="33" fillId="0" borderId="0" xfId="0" applyNumberFormat="1" applyFont="1" applyFill="1" applyBorder="1"/>
    <xf numFmtId="4" fontId="33" fillId="0" borderId="0" xfId="0" applyNumberFormat="1" applyFont="1" applyFill="1"/>
    <xf numFmtId="167" fontId="33" fillId="0" borderId="0" xfId="0" applyNumberFormat="1" applyFont="1" applyFill="1"/>
    <xf numFmtId="0" fontId="51" fillId="0" borderId="0" xfId="2" applyFont="1" applyFill="1" applyBorder="1" applyAlignment="1" applyProtection="1">
      <alignment horizontal="center" vertical="center"/>
    </xf>
    <xf numFmtId="0" fontId="32" fillId="0" borderId="0" xfId="0" applyFont="1" applyFill="1" applyAlignment="1">
      <alignment horizontal="right"/>
    </xf>
    <xf numFmtId="0" fontId="33" fillId="5" borderId="0" xfId="0" applyFont="1" applyFill="1"/>
    <xf numFmtId="3" fontId="33" fillId="5" borderId="0" xfId="0" applyNumberFormat="1" applyFont="1" applyFill="1" applyAlignment="1">
      <alignment horizontal="center"/>
    </xf>
    <xf numFmtId="0" fontId="32" fillId="5" borderId="0" xfId="0" applyFont="1" applyFill="1"/>
    <xf numFmtId="3" fontId="32" fillId="5" borderId="0" xfId="0" applyNumberFormat="1" applyFont="1" applyFill="1" applyAlignment="1">
      <alignment horizontal="center"/>
    </xf>
    <xf numFmtId="0" fontId="52" fillId="12" borderId="0" xfId="0" applyFont="1" applyFill="1" applyBorder="1" applyAlignment="1">
      <alignment horizontal="center" vertical="center"/>
    </xf>
    <xf numFmtId="0" fontId="52" fillId="12" borderId="0" xfId="0" applyFont="1" applyFill="1" applyAlignment="1">
      <alignment horizontal="center" vertical="center"/>
    </xf>
    <xf numFmtId="4" fontId="33" fillId="0" borderId="0" xfId="0" applyNumberFormat="1" applyFont="1" applyFill="1" applyAlignment="1">
      <alignment horizontal="right"/>
    </xf>
    <xf numFmtId="4" fontId="33" fillId="0" borderId="12" xfId="4" applyNumberFormat="1" applyFont="1" applyFill="1" applyBorder="1" applyAlignment="1" applyProtection="1">
      <alignment horizontal="right"/>
    </xf>
    <xf numFmtId="4" fontId="33" fillId="0" borderId="0" xfId="4" applyNumberFormat="1" applyFont="1" applyFill="1" applyBorder="1" applyAlignment="1" applyProtection="1">
      <alignment horizontal="right"/>
    </xf>
    <xf numFmtId="4" fontId="32" fillId="0" borderId="40" xfId="4" applyNumberFormat="1" applyFont="1" applyFill="1" applyBorder="1" applyAlignment="1" applyProtection="1">
      <alignment horizontal="right"/>
    </xf>
    <xf numFmtId="4" fontId="32" fillId="0" borderId="0" xfId="0" applyNumberFormat="1" applyFont="1" applyFill="1" applyAlignment="1">
      <alignment horizontal="right"/>
    </xf>
    <xf numFmtId="4" fontId="32" fillId="0" borderId="12" xfId="4" applyNumberFormat="1" applyFont="1" applyFill="1" applyBorder="1" applyAlignment="1" applyProtection="1">
      <alignment horizontal="right"/>
    </xf>
    <xf numFmtId="0" fontId="3" fillId="0" borderId="0" xfId="2" applyFont="1" applyFill="1" applyAlignment="1" applyProtection="1">
      <alignment vertical="center"/>
    </xf>
    <xf numFmtId="4" fontId="33" fillId="0" borderId="0" xfId="0" applyNumberFormat="1" applyFont="1" applyFill="1" applyAlignment="1">
      <alignment horizontal="right" vertical="center"/>
    </xf>
    <xf numFmtId="3" fontId="32" fillId="0" borderId="0" xfId="0" applyNumberFormat="1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51" fillId="0" borderId="0" xfId="2" applyFont="1" applyFill="1" applyAlignment="1" applyProtection="1">
      <alignment vertical="center"/>
    </xf>
    <xf numFmtId="0" fontId="33" fillId="0" borderId="0" xfId="0" applyFont="1" applyFill="1" applyAlignment="1">
      <alignment horizontal="right" vertical="center"/>
    </xf>
    <xf numFmtId="4" fontId="33" fillId="0" borderId="0" xfId="0" applyNumberFormat="1" applyFont="1" applyFill="1" applyBorder="1" applyAlignment="1">
      <alignment horizontal="right" vertical="center"/>
    </xf>
    <xf numFmtId="4" fontId="33" fillId="0" borderId="16" xfId="0" applyNumberFormat="1" applyFont="1" applyFill="1" applyBorder="1" applyAlignment="1">
      <alignment horizontal="right" vertical="center"/>
    </xf>
    <xf numFmtId="4" fontId="33" fillId="0" borderId="12" xfId="0" applyNumberFormat="1" applyFont="1" applyFill="1" applyBorder="1" applyAlignment="1">
      <alignment horizontal="right" vertical="center"/>
    </xf>
    <xf numFmtId="0" fontId="32" fillId="6" borderId="0" xfId="0" applyFont="1" applyFill="1" applyAlignment="1">
      <alignment vertical="center"/>
    </xf>
    <xf numFmtId="4" fontId="32" fillId="6" borderId="0" xfId="0" applyNumberFormat="1" applyFont="1" applyFill="1" applyAlignment="1">
      <alignment horizontal="right" vertical="center"/>
    </xf>
    <xf numFmtId="4" fontId="32" fillId="0" borderId="0" xfId="0" applyNumberFormat="1" applyFont="1" applyFill="1" applyAlignment="1">
      <alignment horizontal="right" vertical="center"/>
    </xf>
    <xf numFmtId="3" fontId="35" fillId="0" borderId="0" xfId="0" applyNumberFormat="1" applyFont="1" applyFill="1" applyAlignment="1">
      <alignment horizontal="center" vertical="center"/>
    </xf>
    <xf numFmtId="3" fontId="53" fillId="0" borderId="0" xfId="0" applyNumberFormat="1" applyFont="1" applyFill="1" applyAlignment="1">
      <alignment horizontal="center" vertical="center"/>
    </xf>
    <xf numFmtId="4" fontId="32" fillId="0" borderId="38" xfId="0" applyNumberFormat="1" applyFont="1" applyFill="1" applyBorder="1" applyAlignment="1">
      <alignment horizontal="right" vertical="center"/>
    </xf>
    <xf numFmtId="4" fontId="54" fillId="0" borderId="41" xfId="2" applyNumberFormat="1" applyFont="1" applyFill="1" applyBorder="1" applyAlignment="1" applyProtection="1">
      <alignment horizontal="right" vertical="center"/>
    </xf>
    <xf numFmtId="3" fontId="35" fillId="0" borderId="0" xfId="0" applyNumberFormat="1" applyFont="1" applyFill="1" applyAlignment="1">
      <alignment vertical="center"/>
    </xf>
    <xf numFmtId="3" fontId="33" fillId="0" borderId="0" xfId="0" applyNumberFormat="1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/>
    </xf>
    <xf numFmtId="0" fontId="33" fillId="0" borderId="0" xfId="0" applyFont="1" applyFill="1" applyAlignment="1">
      <alignment horizontal="justify"/>
    </xf>
    <xf numFmtId="0" fontId="32" fillId="0" borderId="15" xfId="0" applyFont="1" applyFill="1" applyBorder="1" applyAlignment="1">
      <alignment horizontal="justify"/>
    </xf>
    <xf numFmtId="0" fontId="51" fillId="0" borderId="0" xfId="2" applyFont="1" applyFill="1" applyBorder="1" applyAlignment="1" applyProtection="1">
      <alignment horizontal="center"/>
    </xf>
    <xf numFmtId="3" fontId="47" fillId="0" borderId="0" xfId="0" applyNumberFormat="1" applyFont="1" applyFill="1" applyAlignment="1">
      <alignment horizontal="center"/>
    </xf>
    <xf numFmtId="0" fontId="54" fillId="0" borderId="0" xfId="0" applyFont="1" applyFill="1" applyBorder="1" applyAlignment="1">
      <alignment horizontal="center"/>
    </xf>
    <xf numFmtId="0" fontId="33" fillId="0" borderId="0" xfId="0" applyFont="1" applyFill="1" applyAlignment="1">
      <alignment horizontal="justify" wrapText="1"/>
    </xf>
    <xf numFmtId="0" fontId="32" fillId="0" borderId="0" xfId="0" applyFont="1" applyFill="1" applyBorder="1" applyAlignment="1">
      <alignment horizontal="justify"/>
    </xf>
    <xf numFmtId="0" fontId="33" fillId="6" borderId="0" xfId="0" applyFont="1" applyFill="1" applyAlignment="1">
      <alignment horizontal="justify"/>
    </xf>
    <xf numFmtId="0" fontId="32" fillId="0" borderId="0" xfId="0" applyFont="1" applyFill="1" applyAlignment="1">
      <alignment horizontal="justify"/>
    </xf>
    <xf numFmtId="0" fontId="33" fillId="4" borderId="0" xfId="0" applyFont="1" applyFill="1" applyAlignment="1">
      <alignment horizontal="justify"/>
    </xf>
    <xf numFmtId="0" fontId="32" fillId="0" borderId="43" xfId="0" applyFont="1" applyFill="1" applyBorder="1" applyAlignment="1">
      <alignment horizontal="justify"/>
    </xf>
    <xf numFmtId="0" fontId="33" fillId="7" borderId="0" xfId="0" applyFont="1" applyFill="1" applyAlignment="1">
      <alignment horizontal="justify"/>
    </xf>
    <xf numFmtId="0" fontId="33" fillId="8" borderId="0" xfId="0" applyFont="1" applyFill="1" applyAlignment="1">
      <alignment horizontal="justify"/>
    </xf>
    <xf numFmtId="0" fontId="33" fillId="9" borderId="0" xfId="0" applyFont="1" applyFill="1" applyAlignment="1">
      <alignment horizontal="justify"/>
    </xf>
    <xf numFmtId="0" fontId="55" fillId="0" borderId="0" xfId="0" applyFont="1" applyFill="1" applyBorder="1" applyAlignment="1">
      <alignment horizontal="center" wrapText="1"/>
    </xf>
    <xf numFmtId="0" fontId="33" fillId="0" borderId="0" xfId="0" applyFont="1" applyFill="1" applyBorder="1" applyAlignment="1">
      <alignment horizontal="justify"/>
    </xf>
    <xf numFmtId="3" fontId="33" fillId="0" borderId="0" xfId="0" applyNumberFormat="1" applyFont="1" applyFill="1" applyAlignment="1">
      <alignment horizontal="justify"/>
    </xf>
    <xf numFmtId="0" fontId="56" fillId="0" borderId="0" xfId="0" applyFont="1" applyFill="1" applyBorder="1" applyAlignment="1">
      <alignment horizontal="center"/>
    </xf>
    <xf numFmtId="4" fontId="32" fillId="0" borderId="42" xfId="0" applyNumberFormat="1" applyFont="1" applyFill="1" applyBorder="1" applyAlignment="1">
      <alignment horizontal="right"/>
    </xf>
    <xf numFmtId="4" fontId="32" fillId="0" borderId="0" xfId="0" applyNumberFormat="1" applyFont="1" applyFill="1" applyBorder="1" applyAlignment="1">
      <alignment horizontal="right"/>
    </xf>
    <xf numFmtId="4" fontId="33" fillId="0" borderId="16" xfId="0" applyNumberFormat="1" applyFont="1" applyFill="1" applyBorder="1" applyAlignment="1">
      <alignment horizontal="right"/>
    </xf>
    <xf numFmtId="4" fontId="32" fillId="0" borderId="16" xfId="0" applyNumberFormat="1" applyFont="1" applyFill="1" applyBorder="1" applyAlignment="1">
      <alignment horizontal="right"/>
    </xf>
    <xf numFmtId="4" fontId="32" fillId="0" borderId="15" xfId="0" applyNumberFormat="1" applyFont="1" applyFill="1" applyBorder="1" applyAlignment="1">
      <alignment horizontal="right"/>
    </xf>
    <xf numFmtId="4" fontId="32" fillId="0" borderId="44" xfId="0" applyNumberFormat="1" applyFont="1" applyFill="1" applyBorder="1" applyAlignment="1">
      <alignment horizontal="right"/>
    </xf>
    <xf numFmtId="0" fontId="38" fillId="0" borderId="0" xfId="0" applyFont="1" applyFill="1" applyAlignment="1">
      <alignment vertical="center"/>
    </xf>
    <xf numFmtId="3" fontId="47" fillId="0" borderId="2" xfId="0" applyNumberFormat="1" applyFont="1" applyFill="1" applyBorder="1" applyAlignment="1">
      <alignment vertical="center"/>
    </xf>
    <xf numFmtId="3" fontId="39" fillId="0" borderId="2" xfId="0" applyNumberFormat="1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vertical="center"/>
    </xf>
    <xf numFmtId="0" fontId="39" fillId="9" borderId="2" xfId="0" applyFont="1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0" fontId="47" fillId="0" borderId="2" xfId="0" applyFont="1" applyFill="1" applyBorder="1" applyAlignment="1">
      <alignment vertical="center"/>
    </xf>
    <xf numFmtId="4" fontId="39" fillId="0" borderId="2" xfId="0" applyNumberFormat="1" applyFont="1" applyFill="1" applyBorder="1" applyAlignment="1">
      <alignment horizontal="center" vertical="center"/>
    </xf>
    <xf numFmtId="0" fontId="51" fillId="0" borderId="1" xfId="2" applyFont="1" applyFill="1" applyBorder="1" applyAlignment="1" applyProtection="1">
      <alignment horizontal="right" vertical="center"/>
    </xf>
    <xf numFmtId="0" fontId="47" fillId="9" borderId="2" xfId="0" applyFont="1" applyFill="1" applyBorder="1" applyAlignment="1">
      <alignment vertical="center"/>
    </xf>
    <xf numFmtId="4" fontId="39" fillId="9" borderId="2" xfId="0" applyNumberFormat="1" applyFont="1" applyFill="1" applyBorder="1" applyAlignment="1">
      <alignment horizontal="center" vertical="center"/>
    </xf>
    <xf numFmtId="0" fontId="51" fillId="9" borderId="1" xfId="2" applyFont="1" applyFill="1" applyBorder="1" applyAlignment="1" applyProtection="1">
      <alignment horizontal="right" vertical="center"/>
    </xf>
    <xf numFmtId="3" fontId="39" fillId="0" borderId="2" xfId="0" applyNumberFormat="1" applyFont="1" applyFill="1" applyBorder="1" applyAlignment="1">
      <alignment vertical="center"/>
    </xf>
    <xf numFmtId="3" fontId="47" fillId="0" borderId="0" xfId="0" applyNumberFormat="1" applyFont="1" applyFill="1" applyBorder="1" applyAlignment="1">
      <alignment vertical="center"/>
    </xf>
    <xf numFmtId="0" fontId="39" fillId="0" borderId="0" xfId="0" applyFont="1" applyFill="1" applyBorder="1" applyAlignment="1">
      <alignment vertical="center"/>
    </xf>
    <xf numFmtId="170" fontId="47" fillId="0" borderId="0" xfId="0" applyNumberFormat="1" applyFont="1" applyFill="1" applyAlignment="1">
      <alignment vertical="center"/>
    </xf>
    <xf numFmtId="0" fontId="47" fillId="0" borderId="3" xfId="0" applyFont="1" applyFill="1" applyBorder="1" applyAlignment="1">
      <alignment horizontal="left" vertical="center" indent="1"/>
    </xf>
    <xf numFmtId="170" fontId="47" fillId="0" borderId="4" xfId="0" applyNumberFormat="1" applyFont="1" applyFill="1" applyBorder="1" applyAlignment="1">
      <alignment vertical="center"/>
    </xf>
    <xf numFmtId="0" fontId="47" fillId="0" borderId="4" xfId="0" applyFont="1" applyFill="1" applyBorder="1" applyAlignment="1">
      <alignment vertical="center"/>
    </xf>
    <xf numFmtId="0" fontId="47" fillId="0" borderId="5" xfId="0" applyFont="1" applyFill="1" applyBorder="1" applyAlignment="1">
      <alignment vertical="center"/>
    </xf>
    <xf numFmtId="3" fontId="47" fillId="0" borderId="6" xfId="0" applyNumberFormat="1" applyFont="1" applyFill="1" applyBorder="1" applyAlignment="1">
      <alignment horizontal="center" vertical="center"/>
    </xf>
    <xf numFmtId="3" fontId="47" fillId="0" borderId="3" xfId="0" applyNumberFormat="1" applyFont="1" applyFill="1" applyBorder="1" applyAlignment="1">
      <alignment vertical="center"/>
    </xf>
    <xf numFmtId="0" fontId="47" fillId="0" borderId="7" xfId="0" applyFont="1" applyFill="1" applyBorder="1" applyAlignment="1">
      <alignment vertical="center"/>
    </xf>
    <xf numFmtId="171" fontId="47" fillId="0" borderId="0" xfId="0" applyNumberFormat="1" applyFont="1" applyFill="1" applyBorder="1" applyAlignment="1">
      <alignment vertical="center"/>
    </xf>
    <xf numFmtId="0" fontId="47" fillId="0" borderId="8" xfId="0" applyFont="1" applyFill="1" applyBorder="1" applyAlignment="1">
      <alignment vertical="center"/>
    </xf>
    <xf numFmtId="3" fontId="47" fillId="0" borderId="9" xfId="0" applyNumberFormat="1" applyFont="1" applyFill="1" applyBorder="1" applyAlignment="1">
      <alignment horizontal="center" vertical="center"/>
    </xf>
    <xf numFmtId="171" fontId="47" fillId="0" borderId="0" xfId="0" applyNumberFormat="1" applyFont="1" applyFill="1" applyAlignment="1">
      <alignment vertical="center"/>
    </xf>
    <xf numFmtId="3" fontId="47" fillId="0" borderId="7" xfId="0" applyNumberFormat="1" applyFont="1" applyFill="1" applyBorder="1" applyAlignment="1">
      <alignment vertical="center"/>
    </xf>
    <xf numFmtId="0" fontId="47" fillId="0" borderId="7" xfId="0" applyFont="1" applyFill="1" applyBorder="1" applyAlignment="1">
      <alignment horizontal="left" vertical="center" indent="1"/>
    </xf>
    <xf numFmtId="3" fontId="47" fillId="0" borderId="0" xfId="0" applyNumberFormat="1" applyFont="1" applyFill="1" applyBorder="1" applyAlignment="1">
      <alignment horizontal="center" vertical="center"/>
    </xf>
    <xf numFmtId="172" fontId="47" fillId="0" borderId="10" xfId="0" applyNumberFormat="1" applyFont="1" applyFill="1" applyBorder="1" applyAlignment="1">
      <alignment horizontal="center" vertical="center"/>
    </xf>
    <xf numFmtId="3" fontId="47" fillId="0" borderId="11" xfId="0" applyNumberFormat="1" applyFont="1" applyFill="1" applyBorder="1" applyAlignment="1">
      <alignment horizontal="left" vertical="center" indent="1"/>
    </xf>
    <xf numFmtId="3" fontId="47" fillId="0" borderId="12" xfId="0" applyNumberFormat="1" applyFont="1" applyFill="1" applyBorder="1" applyAlignment="1">
      <alignment vertical="center"/>
    </xf>
    <xf numFmtId="0" fontId="47" fillId="0" borderId="12" xfId="0" applyFont="1" applyFill="1" applyBorder="1" applyAlignment="1">
      <alignment vertical="center"/>
    </xf>
    <xf numFmtId="0" fontId="47" fillId="0" borderId="13" xfId="0" applyFont="1" applyFill="1" applyBorder="1" applyAlignment="1">
      <alignment vertical="center"/>
    </xf>
    <xf numFmtId="3" fontId="47" fillId="0" borderId="14" xfId="0" applyNumberFormat="1" applyFont="1" applyFill="1" applyBorder="1" applyAlignment="1">
      <alignment horizontal="center" vertical="center"/>
    </xf>
    <xf numFmtId="172" fontId="47" fillId="0" borderId="8" xfId="0" applyNumberFormat="1" applyFont="1" applyFill="1" applyBorder="1" applyAlignment="1">
      <alignment horizontal="center" vertical="center"/>
    </xf>
    <xf numFmtId="3" fontId="47" fillId="0" borderId="3" xfId="0" applyNumberFormat="1" applyFont="1" applyFill="1" applyBorder="1" applyAlignment="1">
      <alignment horizontal="left" vertical="center" indent="1"/>
    </xf>
    <xf numFmtId="3" fontId="47" fillId="0" borderId="4" xfId="0" applyNumberFormat="1" applyFont="1" applyFill="1" applyBorder="1" applyAlignment="1">
      <alignment vertical="center"/>
    </xf>
    <xf numFmtId="183" fontId="47" fillId="0" borderId="8" xfId="0" applyNumberFormat="1" applyFont="1" applyFill="1" applyBorder="1" applyAlignment="1">
      <alignment horizontal="center" vertical="center"/>
    </xf>
    <xf numFmtId="3" fontId="47" fillId="0" borderId="7" xfId="0" applyNumberFormat="1" applyFont="1" applyFill="1" applyBorder="1" applyAlignment="1">
      <alignment horizontal="center" vertical="center"/>
    </xf>
    <xf numFmtId="3" fontId="47" fillId="0" borderId="8" xfId="0" applyNumberFormat="1" applyFont="1" applyFill="1" applyBorder="1" applyAlignment="1">
      <alignment horizontal="center" vertical="center"/>
    </xf>
    <xf numFmtId="3" fontId="39" fillId="0" borderId="7" xfId="0" applyNumberFormat="1" applyFont="1" applyFill="1" applyBorder="1" applyAlignment="1">
      <alignment horizontal="left" vertical="center" indent="1"/>
    </xf>
    <xf numFmtId="3" fontId="39" fillId="0" borderId="0" xfId="0" applyNumberFormat="1" applyFont="1" applyFill="1" applyBorder="1" applyAlignment="1">
      <alignment vertical="center"/>
    </xf>
    <xf numFmtId="3" fontId="39" fillId="0" borderId="8" xfId="0" applyNumberFormat="1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3" fontId="47" fillId="0" borderId="8" xfId="0" applyNumberFormat="1" applyFont="1" applyFill="1" applyBorder="1" applyAlignment="1">
      <alignment vertical="center"/>
    </xf>
    <xf numFmtId="0" fontId="47" fillId="0" borderId="8" xfId="0" applyFont="1" applyFill="1" applyBorder="1" applyAlignment="1">
      <alignment horizontal="center" vertical="center"/>
    </xf>
    <xf numFmtId="3" fontId="47" fillId="0" borderId="11" xfId="0" applyNumberFormat="1" applyFont="1" applyFill="1" applyBorder="1" applyAlignment="1">
      <alignment vertical="center"/>
    </xf>
    <xf numFmtId="3" fontId="47" fillId="0" borderId="13" xfId="0" applyNumberFormat="1" applyFont="1" applyFill="1" applyBorder="1" applyAlignment="1">
      <alignment vertical="center"/>
    </xf>
    <xf numFmtId="3" fontId="39" fillId="0" borderId="7" xfId="0" applyNumberFormat="1" applyFont="1" applyFill="1" applyBorder="1" applyAlignment="1">
      <alignment vertical="center"/>
    </xf>
    <xf numFmtId="3" fontId="47" fillId="0" borderId="13" xfId="0" applyNumberFormat="1" applyFont="1" applyFill="1" applyBorder="1" applyAlignment="1">
      <alignment horizontal="center" vertical="center"/>
    </xf>
    <xf numFmtId="0" fontId="51" fillId="0" borderId="7" xfId="2" applyFont="1" applyFill="1" applyBorder="1" applyAlignment="1" applyProtection="1">
      <alignment horizontal="right" vertical="center"/>
    </xf>
    <xf numFmtId="3" fontId="51" fillId="0" borderId="0" xfId="2" applyNumberFormat="1" applyFont="1" applyFill="1" applyBorder="1" applyAlignment="1" applyProtection="1">
      <alignment horizontal="center" vertical="center"/>
    </xf>
    <xf numFmtId="3" fontId="39" fillId="0" borderId="11" xfId="0" applyNumberFormat="1" applyFont="1" applyFill="1" applyBorder="1" applyAlignment="1">
      <alignment horizontal="left" vertical="center" indent="1"/>
    </xf>
    <xf numFmtId="3" fontId="39" fillId="0" borderId="12" xfId="0" applyNumberFormat="1" applyFont="1" applyFill="1" applyBorder="1" applyAlignment="1">
      <alignment vertical="center"/>
    </xf>
    <xf numFmtId="4" fontId="47" fillId="10" borderId="13" xfId="0" applyNumberFormat="1" applyFont="1" applyFill="1" applyBorder="1" applyAlignment="1">
      <alignment horizontal="center" vertical="center"/>
    </xf>
    <xf numFmtId="0" fontId="47" fillId="0" borderId="0" xfId="0" applyFont="1" applyFill="1" applyAlignment="1">
      <alignment horizontal="left" vertical="center"/>
    </xf>
    <xf numFmtId="3" fontId="47" fillId="0" borderId="0" xfId="0" applyNumberFormat="1" applyFont="1" applyFill="1" applyAlignment="1">
      <alignment horizontal="right" vertical="center"/>
    </xf>
    <xf numFmtId="0" fontId="47" fillId="0" borderId="0" xfId="0" applyFont="1" applyFill="1" applyAlignment="1">
      <alignment horizontal="right" vertical="center"/>
    </xf>
    <xf numFmtId="4" fontId="47" fillId="0" borderId="2" xfId="0" applyNumberFormat="1" applyFont="1" applyFill="1" applyBorder="1" applyAlignment="1">
      <alignment horizontal="right" vertical="center"/>
    </xf>
    <xf numFmtId="4" fontId="47" fillId="9" borderId="2" xfId="0" applyNumberFormat="1" applyFont="1" applyFill="1" applyBorder="1" applyAlignment="1">
      <alignment horizontal="right" vertical="center"/>
    </xf>
    <xf numFmtId="4" fontId="35" fillId="9" borderId="2" xfId="0" applyNumberFormat="1" applyFont="1" applyFill="1" applyBorder="1" applyAlignment="1">
      <alignment horizontal="right" vertical="center"/>
    </xf>
    <xf numFmtId="0" fontId="39" fillId="0" borderId="0" xfId="0" applyFont="1" applyFill="1"/>
    <xf numFmtId="0" fontId="47" fillId="0" borderId="0" xfId="0" applyFont="1" applyFill="1"/>
    <xf numFmtId="3" fontId="47" fillId="0" borderId="0" xfId="0" applyNumberFormat="1" applyFont="1" applyFill="1"/>
    <xf numFmtId="0" fontId="39" fillId="0" borderId="0" xfId="0" applyFont="1" applyFill="1" applyAlignment="1">
      <alignment horizontal="center" vertical="center"/>
    </xf>
    <xf numFmtId="3" fontId="47" fillId="0" borderId="0" xfId="0" applyNumberFormat="1" applyFont="1" applyFill="1" applyBorder="1"/>
    <xf numFmtId="3" fontId="39" fillId="0" borderId="0" xfId="0" applyNumberFormat="1" applyFont="1" applyFill="1"/>
    <xf numFmtId="4" fontId="41" fillId="0" borderId="2" xfId="0" applyNumberFormat="1" applyFont="1" applyFill="1" applyBorder="1" applyAlignment="1" applyProtection="1">
      <alignment horizontal="center" vertical="center"/>
    </xf>
    <xf numFmtId="4" fontId="42" fillId="0" borderId="2" xfId="0" applyNumberFormat="1" applyFont="1" applyFill="1" applyBorder="1" applyAlignment="1" applyProtection="1">
      <alignment horizontal="center" vertical="center"/>
    </xf>
    <xf numFmtId="4" fontId="41" fillId="4" borderId="2" xfId="0" applyNumberFormat="1" applyFont="1" applyFill="1" applyBorder="1" applyAlignment="1" applyProtection="1">
      <alignment horizontal="center" vertical="center"/>
    </xf>
    <xf numFmtId="4" fontId="41" fillId="0" borderId="57" xfId="0" applyNumberFormat="1" applyFont="1" applyFill="1" applyBorder="1" applyAlignment="1" applyProtection="1">
      <alignment horizontal="center" vertical="center"/>
    </xf>
    <xf numFmtId="0" fontId="39" fillId="0" borderId="0" xfId="0" applyFont="1" applyFill="1" applyBorder="1" applyAlignment="1"/>
    <xf numFmtId="0" fontId="45" fillId="0" borderId="0" xfId="0" applyFont="1" applyFill="1"/>
    <xf numFmtId="4" fontId="47" fillId="0" borderId="0" xfId="0" applyNumberFormat="1" applyFont="1" applyFill="1"/>
    <xf numFmtId="4" fontId="39" fillId="0" borderId="0" xfId="0" applyNumberFormat="1" applyFont="1" applyFill="1"/>
    <xf numFmtId="3" fontId="47" fillId="0" borderId="12" xfId="0" applyNumberFormat="1" applyFont="1" applyFill="1" applyBorder="1" applyAlignment="1">
      <alignment horizontal="center" vertical="center"/>
    </xf>
    <xf numFmtId="0" fontId="3" fillId="0" borderId="0" xfId="2" applyFont="1" applyFill="1" applyBorder="1" applyAlignment="1" applyProtection="1">
      <alignment horizontal="left" vertical="center"/>
    </xf>
    <xf numFmtId="172" fontId="39" fillId="0" borderId="0" xfId="0" applyNumberFormat="1" applyFont="1" applyFill="1"/>
    <xf numFmtId="172" fontId="47" fillId="0" borderId="0" xfId="0" applyNumberFormat="1" applyFont="1" applyFill="1"/>
    <xf numFmtId="3" fontId="37" fillId="0" borderId="0" xfId="0" applyNumberFormat="1" applyFont="1" applyFill="1" applyAlignment="1">
      <alignment horizontal="left" indent="1"/>
    </xf>
    <xf numFmtId="3" fontId="31" fillId="0" borderId="0" xfId="0" applyNumberFormat="1" applyFont="1" applyFill="1" applyAlignment="1">
      <alignment horizontal="left" indent="1"/>
    </xf>
    <xf numFmtId="3" fontId="57" fillId="0" borderId="0" xfId="0" applyNumberFormat="1" applyFont="1" applyFill="1"/>
    <xf numFmtId="169" fontId="0" fillId="0" borderId="0" xfId="3" applyFont="1" applyFill="1"/>
    <xf numFmtId="0" fontId="58" fillId="0" borderId="0" xfId="0" applyFont="1" applyFill="1" applyAlignment="1">
      <alignment vertical="center"/>
    </xf>
    <xf numFmtId="3" fontId="58" fillId="0" borderId="0" xfId="0" applyNumberFormat="1" applyFont="1" applyFill="1" applyAlignment="1">
      <alignment vertical="center"/>
    </xf>
    <xf numFmtId="3" fontId="38" fillId="0" borderId="0" xfId="0" applyNumberFormat="1" applyFont="1" applyFill="1"/>
    <xf numFmtId="3" fontId="37" fillId="0" borderId="0" xfId="0" applyNumberFormat="1" applyFont="1" applyFill="1" applyAlignment="1">
      <alignment horizontal="left" vertical="center" indent="1"/>
    </xf>
    <xf numFmtId="3" fontId="47" fillId="0" borderId="0" xfId="0" applyNumberFormat="1" applyFont="1" applyFill="1" applyAlignment="1"/>
    <xf numFmtId="0" fontId="39" fillId="0" borderId="0" xfId="0" applyFont="1" applyFill="1" applyAlignment="1"/>
    <xf numFmtId="0" fontId="47" fillId="0" borderId="0" xfId="0" applyFont="1" applyFill="1" applyAlignment="1"/>
    <xf numFmtId="0" fontId="58" fillId="0" borderId="0" xfId="0" applyFont="1" applyFill="1"/>
    <xf numFmtId="3" fontId="58" fillId="0" borderId="0" xfId="0" applyNumberFormat="1" applyFont="1" applyFill="1"/>
    <xf numFmtId="9" fontId="47" fillId="0" borderId="0" xfId="7" applyFont="1" applyFill="1" applyBorder="1" applyAlignment="1" applyProtection="1"/>
    <xf numFmtId="172" fontId="21" fillId="0" borderId="30" xfId="0" applyNumberFormat="1" applyFont="1" applyFill="1" applyBorder="1" applyAlignment="1">
      <alignment horizontal="center" vertical="center"/>
    </xf>
    <xf numFmtId="9" fontId="21" fillId="0" borderId="30" xfId="7" applyFont="1" applyFill="1" applyBorder="1" applyAlignment="1" applyProtection="1">
      <alignment horizontal="center" vertical="center"/>
    </xf>
    <xf numFmtId="0" fontId="44" fillId="0" borderId="0" xfId="2" applyFont="1" applyFill="1" applyBorder="1" applyAlignment="1" applyProtection="1">
      <alignment horizontal="left" vertical="center"/>
    </xf>
    <xf numFmtId="0" fontId="59" fillId="0" borderId="0" xfId="2" applyFont="1" applyFill="1" applyBorder="1" applyAlignment="1" applyProtection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9" fontId="47" fillId="0" borderId="16" xfId="0" applyNumberFormat="1" applyFont="1" applyFill="1" applyBorder="1" applyAlignment="1">
      <alignment horizontal="center" vertical="center"/>
    </xf>
    <xf numFmtId="185" fontId="47" fillId="0" borderId="0" xfId="0" applyNumberFormat="1" applyFont="1" applyFill="1" applyBorder="1" applyAlignment="1">
      <alignment horizontal="right" vertical="center"/>
    </xf>
    <xf numFmtId="184" fontId="47" fillId="0" borderId="0" xfId="0" applyNumberFormat="1" applyFont="1" applyFill="1" applyBorder="1" applyAlignment="1">
      <alignment horizontal="center" vertical="center"/>
    </xf>
    <xf numFmtId="184" fontId="48" fillId="0" borderId="0" xfId="0" applyNumberFormat="1" applyFont="1" applyFill="1" applyBorder="1" applyAlignment="1">
      <alignment vertical="center"/>
    </xf>
    <xf numFmtId="176" fontId="47" fillId="0" borderId="0" xfId="0" applyNumberFormat="1" applyFont="1" applyFill="1" applyBorder="1" applyAlignment="1">
      <alignment vertical="center"/>
    </xf>
    <xf numFmtId="175" fontId="47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47" fillId="0" borderId="71" xfId="0" applyFont="1" applyFill="1" applyBorder="1" applyAlignment="1">
      <alignment vertical="center"/>
    </xf>
    <xf numFmtId="0" fontId="47" fillId="10" borderId="71" xfId="0" applyFont="1" applyFill="1" applyBorder="1" applyAlignment="1">
      <alignment vertical="center"/>
    </xf>
    <xf numFmtId="0" fontId="39" fillId="0" borderId="71" xfId="0" applyFont="1" applyFill="1" applyBorder="1" applyAlignment="1">
      <alignment vertical="center"/>
    </xf>
    <xf numFmtId="3" fontId="39" fillId="0" borderId="72" xfId="0" applyNumberFormat="1" applyFont="1" applyFill="1" applyBorder="1" applyAlignment="1">
      <alignment vertical="center"/>
    </xf>
    <xf numFmtId="3" fontId="39" fillId="0" borderId="6" xfId="0" applyNumberFormat="1" applyFont="1" applyFill="1" applyBorder="1" applyAlignment="1">
      <alignment horizontal="center" vertical="center"/>
    </xf>
    <xf numFmtId="4" fontId="47" fillId="0" borderId="47" xfId="0" applyNumberFormat="1" applyFont="1" applyFill="1" applyBorder="1" applyAlignment="1">
      <alignment horizontal="right" vertical="center"/>
    </xf>
    <xf numFmtId="3" fontId="47" fillId="0" borderId="47" xfId="0" applyNumberFormat="1" applyFont="1" applyFill="1" applyBorder="1" applyAlignment="1">
      <alignment vertical="center"/>
    </xf>
    <xf numFmtId="180" fontId="41" fillId="0" borderId="73" xfId="0" applyNumberFormat="1" applyFont="1" applyFill="1" applyBorder="1" applyAlignment="1" applyProtection="1">
      <alignment horizontal="center" vertical="center"/>
    </xf>
    <xf numFmtId="186" fontId="47" fillId="0" borderId="0" xfId="0" applyNumberFormat="1" applyFont="1" applyFill="1" applyBorder="1" applyAlignment="1">
      <alignment horizontal="right" vertical="center"/>
    </xf>
    <xf numFmtId="185" fontId="47" fillId="0" borderId="0" xfId="0" applyNumberFormat="1" applyFont="1" applyFill="1" applyBorder="1" applyAlignment="1">
      <alignment horizontal="center" vertical="center"/>
    </xf>
    <xf numFmtId="184" fontId="47" fillId="0" borderId="15" xfId="0" applyNumberFormat="1" applyFont="1" applyFill="1" applyBorder="1" applyAlignment="1">
      <alignment horizontal="center" vertical="center"/>
    </xf>
    <xf numFmtId="185" fontId="39" fillId="0" borderId="0" xfId="0" applyNumberFormat="1" applyFont="1" applyFill="1" applyBorder="1" applyAlignment="1">
      <alignment horizontal="center" vertical="center"/>
    </xf>
    <xf numFmtId="186" fontId="47" fillId="0" borderId="0" xfId="0" applyNumberFormat="1" applyFont="1" applyFill="1" applyBorder="1" applyAlignment="1">
      <alignment horizontal="center" vertical="center"/>
    </xf>
    <xf numFmtId="0" fontId="32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center" vertical="top"/>
    </xf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center"/>
    </xf>
    <xf numFmtId="0" fontId="32" fillId="0" borderId="0" xfId="0" applyFont="1" applyFill="1" applyAlignment="1">
      <alignment horizontal="center" vertical="top" wrapText="1"/>
    </xf>
    <xf numFmtId="0" fontId="39" fillId="0" borderId="0" xfId="0" applyFont="1" applyFill="1" applyBorder="1" applyAlignment="1">
      <alignment horizontal="center" vertical="center"/>
    </xf>
    <xf numFmtId="0" fontId="51" fillId="0" borderId="0" xfId="2" applyFont="1" applyFill="1" applyBorder="1" applyAlignment="1" applyProtection="1">
      <alignment horizontal="left" vertical="center"/>
    </xf>
    <xf numFmtId="49" fontId="47" fillId="0" borderId="0" xfId="0" applyNumberFormat="1" applyFont="1" applyFill="1" applyBorder="1" applyAlignment="1">
      <alignment horizontal="center" vertical="center"/>
    </xf>
    <xf numFmtId="3" fontId="47" fillId="0" borderId="51" xfId="0" applyNumberFormat="1" applyFont="1" applyFill="1" applyBorder="1" applyAlignment="1">
      <alignment horizontal="center" vertical="center"/>
    </xf>
    <xf numFmtId="3" fontId="47" fillId="0" borderId="16" xfId="0" applyNumberFormat="1" applyFont="1" applyFill="1" applyBorder="1" applyAlignment="1">
      <alignment horizontal="center" vertical="center"/>
    </xf>
    <xf numFmtId="3" fontId="47" fillId="0" borderId="52" xfId="0" applyNumberFormat="1" applyFont="1" applyFill="1" applyBorder="1" applyAlignment="1">
      <alignment horizontal="center" vertical="center"/>
    </xf>
    <xf numFmtId="3" fontId="47" fillId="0" borderId="53" xfId="0" applyNumberFormat="1" applyFont="1" applyFill="1" applyBorder="1" applyAlignment="1">
      <alignment horizontal="center" vertical="center"/>
    </xf>
    <xf numFmtId="3" fontId="40" fillId="0" borderId="54" xfId="0" applyNumberFormat="1" applyFont="1" applyFill="1" applyBorder="1" applyAlignment="1" applyProtection="1">
      <alignment horizontal="center" vertical="center"/>
    </xf>
    <xf numFmtId="0" fontId="40" fillId="0" borderId="54" xfId="0" applyFont="1" applyFill="1" applyBorder="1" applyAlignment="1" applyProtection="1">
      <alignment horizontal="center" vertical="center"/>
    </xf>
    <xf numFmtId="0" fontId="37" fillId="0" borderId="60" xfId="0" applyFont="1" applyFill="1" applyBorder="1" applyAlignment="1" applyProtection="1">
      <alignment horizontal="center" vertical="center"/>
    </xf>
    <xf numFmtId="0" fontId="37" fillId="0" borderId="46" xfId="0" applyFont="1" applyFill="1" applyBorder="1" applyAlignment="1" applyProtection="1">
      <alignment horizontal="center" vertical="center"/>
    </xf>
    <xf numFmtId="0" fontId="37" fillId="0" borderId="0" xfId="0" applyFont="1" applyFill="1" applyBorder="1" applyAlignment="1">
      <alignment horizontal="right" vertical="center" wrapText="1"/>
    </xf>
    <xf numFmtId="0" fontId="37" fillId="0" borderId="55" xfId="0" applyFont="1" applyFill="1" applyBorder="1" applyAlignment="1">
      <alignment horizontal="right" vertical="center" wrapText="1"/>
    </xf>
    <xf numFmtId="0" fontId="39" fillId="0" borderId="0" xfId="0" applyFont="1" applyFill="1" applyBorder="1" applyAlignment="1" applyProtection="1">
      <alignment horizontal="center"/>
    </xf>
    <xf numFmtId="0" fontId="39" fillId="0" borderId="0" xfId="0" applyFont="1" applyFill="1" applyBorder="1" applyAlignment="1" applyProtection="1">
      <alignment horizontal="center" vertical="top"/>
    </xf>
    <xf numFmtId="0" fontId="25" fillId="0" borderId="0" xfId="0" applyFont="1" applyFill="1" applyBorder="1" applyAlignment="1">
      <alignment horizontal="center"/>
    </xf>
    <xf numFmtId="3" fontId="25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 vertical="center"/>
    </xf>
    <xf numFmtId="0" fontId="23" fillId="0" borderId="7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top"/>
    </xf>
    <xf numFmtId="0" fontId="39" fillId="0" borderId="0" xfId="0" applyFont="1" applyFill="1" applyBorder="1" applyAlignment="1">
      <alignment horizontal="center"/>
    </xf>
    <xf numFmtId="0" fontId="47" fillId="0" borderId="0" xfId="0" applyFont="1" applyFill="1" applyAlignment="1">
      <alignment horizontal="center" vertical="center"/>
    </xf>
    <xf numFmtId="3" fontId="33" fillId="0" borderId="0" xfId="0" applyNumberFormat="1" applyFont="1" applyFill="1" applyAlignment="1">
      <alignment horizontal="left"/>
    </xf>
    <xf numFmtId="3" fontId="60" fillId="0" borderId="0" xfId="0" applyNumberFormat="1" applyFont="1" applyFill="1" applyAlignment="1">
      <alignment horizontal="left"/>
    </xf>
    <xf numFmtId="0" fontId="32" fillId="4" borderId="0" xfId="0" applyFont="1" applyFill="1" applyBorder="1" applyAlignment="1">
      <alignment horizontal="center"/>
    </xf>
    <xf numFmtId="0" fontId="38" fillId="13" borderId="2" xfId="0" applyFont="1" applyFill="1" applyBorder="1"/>
    <xf numFmtId="4" fontId="38" fillId="13" borderId="2" xfId="0" applyNumberFormat="1" applyFont="1" applyFill="1" applyBorder="1" applyAlignment="1">
      <alignment horizontal="center"/>
    </xf>
    <xf numFmtId="4" fontId="38" fillId="13" borderId="50" xfId="0" applyNumberFormat="1" applyFont="1" applyFill="1" applyBorder="1" applyAlignment="1">
      <alignment horizontal="center"/>
    </xf>
    <xf numFmtId="4" fontId="62" fillId="13" borderId="2" xfId="0" applyNumberFormat="1" applyFont="1" applyFill="1" applyBorder="1" applyAlignment="1" applyProtection="1">
      <alignment horizontal="center" vertical="center"/>
    </xf>
    <xf numFmtId="171" fontId="62" fillId="13" borderId="2" xfId="0" applyNumberFormat="1" applyFont="1" applyFill="1" applyBorder="1" applyAlignment="1" applyProtection="1">
      <alignment horizontal="center" vertical="center"/>
    </xf>
    <xf numFmtId="173" fontId="62" fillId="13" borderId="2" xfId="0" applyNumberFormat="1" applyFont="1" applyFill="1" applyBorder="1" applyAlignment="1" applyProtection="1">
      <alignment horizontal="center" vertical="center"/>
    </xf>
    <xf numFmtId="4" fontId="62" fillId="13" borderId="57" xfId="0" applyNumberFormat="1" applyFont="1" applyFill="1" applyBorder="1" applyAlignment="1" applyProtection="1">
      <alignment horizontal="center" vertical="center"/>
    </xf>
    <xf numFmtId="3" fontId="62" fillId="13" borderId="0" xfId="0" applyNumberFormat="1" applyFont="1" applyFill="1" applyBorder="1" applyAlignment="1">
      <alignment horizontal="left" vertical="center"/>
    </xf>
    <xf numFmtId="0" fontId="62" fillId="13" borderId="0" xfId="0" applyFont="1" applyFill="1" applyAlignment="1">
      <alignment horizontal="center" vertical="center"/>
    </xf>
    <xf numFmtId="0" fontId="61" fillId="14" borderId="0" xfId="0" applyFont="1" applyFill="1" applyAlignment="1">
      <alignment horizontal="center" vertical="center"/>
    </xf>
    <xf numFmtId="0" fontId="62" fillId="14" borderId="56" xfId="0" applyFont="1" applyFill="1" applyBorder="1" applyAlignment="1" applyProtection="1">
      <alignment horizontal="center" vertical="center"/>
    </xf>
    <xf numFmtId="14" fontId="62" fillId="14" borderId="2" xfId="0" applyNumberFormat="1" applyFont="1" applyFill="1" applyBorder="1" applyAlignment="1" applyProtection="1">
      <alignment horizontal="center" vertical="center"/>
    </xf>
    <xf numFmtId="3" fontId="62" fillId="14" borderId="2" xfId="0" applyNumberFormat="1" applyFont="1" applyFill="1" applyBorder="1" applyAlignment="1" applyProtection="1">
      <alignment horizontal="center" vertical="center"/>
    </xf>
    <xf numFmtId="4" fontId="62" fillId="14" borderId="2" xfId="0" applyNumberFormat="1" applyFont="1" applyFill="1" applyBorder="1" applyAlignment="1" applyProtection="1">
      <alignment horizontal="center" vertical="center"/>
    </xf>
    <xf numFmtId="9" fontId="62" fillId="14" borderId="2" xfId="0" applyNumberFormat="1" applyFont="1" applyFill="1" applyBorder="1" applyAlignment="1" applyProtection="1">
      <alignment horizontal="center" vertical="center"/>
    </xf>
    <xf numFmtId="0" fontId="62" fillId="14" borderId="2" xfId="0" applyFont="1" applyFill="1" applyBorder="1" applyAlignment="1">
      <alignment horizontal="center" vertical="center"/>
    </xf>
    <xf numFmtId="0" fontId="2" fillId="15" borderId="0" xfId="0" applyFont="1" applyFill="1" applyAlignment="1">
      <alignment horizontal="center" vertical="center"/>
    </xf>
    <xf numFmtId="0" fontId="41" fillId="15" borderId="56" xfId="0" applyFont="1" applyFill="1" applyBorder="1" applyAlignment="1">
      <alignment horizontal="center" vertical="center"/>
    </xf>
    <xf numFmtId="14" fontId="41" fillId="15" borderId="2" xfId="0" applyNumberFormat="1" applyFont="1" applyFill="1" applyBorder="1" applyAlignment="1" applyProtection="1">
      <alignment horizontal="center" vertical="center"/>
    </xf>
    <xf numFmtId="3" fontId="41" fillId="15" borderId="2" xfId="0" applyNumberFormat="1" applyFont="1" applyFill="1" applyBorder="1" applyAlignment="1" applyProtection="1">
      <alignment horizontal="center" vertical="center"/>
    </xf>
    <xf numFmtId="180" fontId="41" fillId="15" borderId="2" xfId="0" applyNumberFormat="1" applyFont="1" applyFill="1" applyBorder="1" applyAlignment="1" applyProtection="1">
      <alignment horizontal="center" vertical="center"/>
    </xf>
    <xf numFmtId="4" fontId="42" fillId="15" borderId="2" xfId="0" applyNumberFormat="1" applyFont="1" applyFill="1" applyBorder="1" applyAlignment="1">
      <alignment horizontal="center" vertical="center"/>
    </xf>
    <xf numFmtId="9" fontId="41" fillId="15" borderId="2" xfId="0" applyNumberFormat="1" applyFont="1" applyFill="1" applyBorder="1" applyAlignment="1" applyProtection="1">
      <alignment horizontal="center" vertical="center"/>
    </xf>
    <xf numFmtId="4" fontId="41" fillId="15" borderId="2" xfId="0" applyNumberFormat="1" applyFont="1" applyFill="1" applyBorder="1" applyAlignment="1" applyProtection="1">
      <alignment horizontal="center" vertical="center"/>
    </xf>
    <xf numFmtId="0" fontId="42" fillId="15" borderId="2" xfId="0" applyFont="1" applyFill="1" applyBorder="1" applyAlignment="1">
      <alignment horizontal="center" vertical="center"/>
    </xf>
    <xf numFmtId="171" fontId="41" fillId="15" borderId="2" xfId="0" applyNumberFormat="1" applyFont="1" applyFill="1" applyBorder="1" applyAlignment="1" applyProtection="1">
      <alignment horizontal="center" vertical="center"/>
    </xf>
    <xf numFmtId="173" fontId="43" fillId="15" borderId="2" xfId="0" applyNumberFormat="1" applyFont="1" applyFill="1" applyBorder="1" applyAlignment="1" applyProtection="1">
      <alignment horizontal="center" vertical="center"/>
    </xf>
    <xf numFmtId="4" fontId="41" fillId="15" borderId="57" xfId="0" applyNumberFormat="1" applyFont="1" applyFill="1" applyBorder="1" applyAlignment="1" applyProtection="1">
      <alignment horizontal="center" vertical="center"/>
    </xf>
  </cellXfs>
  <cellStyles count="8">
    <cellStyle name="Euro" xfId="1"/>
    <cellStyle name="Hipervínculo" xfId="2" builtinId="8"/>
    <cellStyle name="Millares" xfId="3" builtinId="3"/>
    <cellStyle name="Moneda" xfId="4" builtinId="4"/>
    <cellStyle name="Normal" xfId="0" builtinId="0"/>
    <cellStyle name="Normal 2" xfId="5"/>
    <cellStyle name="Normal_EJEMPLOS" xfId="6"/>
    <cellStyle name="Porcentaje" xfId="7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6</xdr:row>
      <xdr:rowOff>152400</xdr:rowOff>
    </xdr:from>
    <xdr:to>
      <xdr:col>6</xdr:col>
      <xdr:colOff>2118360</xdr:colOff>
      <xdr:row>6</xdr:row>
      <xdr:rowOff>152400</xdr:rowOff>
    </xdr:to>
    <xdr:sp macro="" textlink="">
      <xdr:nvSpPr>
        <xdr:cNvPr id="43498" name="Line 2">
          <a:extLst>
            <a:ext uri="{FF2B5EF4-FFF2-40B4-BE49-F238E27FC236}">
              <a16:creationId xmlns:a16="http://schemas.microsoft.com/office/drawing/2014/main" id="{00000000-0008-0000-0000-0000EAA90000}"/>
            </a:ext>
          </a:extLst>
        </xdr:cNvPr>
        <xdr:cNvSpPr>
          <a:spLocks noChangeShapeType="1"/>
        </xdr:cNvSpPr>
      </xdr:nvSpPr>
      <xdr:spPr bwMode="auto">
        <a:xfrm>
          <a:off x="22860" y="2026920"/>
          <a:ext cx="6576060" cy="0"/>
        </a:xfrm>
        <a:prstGeom prst="line">
          <a:avLst/>
        </a:prstGeom>
        <a:noFill/>
        <a:ln w="34920">
          <a:solidFill>
            <a:srgbClr val="969696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26</xdr:row>
      <xdr:rowOff>68580</xdr:rowOff>
    </xdr:from>
    <xdr:to>
      <xdr:col>6</xdr:col>
      <xdr:colOff>2103120</xdr:colOff>
      <xdr:row>26</xdr:row>
      <xdr:rowOff>68580</xdr:rowOff>
    </xdr:to>
    <xdr:sp macro="" textlink="">
      <xdr:nvSpPr>
        <xdr:cNvPr id="43499" name="Line 3">
          <a:extLst>
            <a:ext uri="{FF2B5EF4-FFF2-40B4-BE49-F238E27FC236}">
              <a16:creationId xmlns:a16="http://schemas.microsoft.com/office/drawing/2014/main" id="{00000000-0008-0000-0000-0000EBA90000}"/>
            </a:ext>
          </a:extLst>
        </xdr:cNvPr>
        <xdr:cNvSpPr>
          <a:spLocks noChangeShapeType="1"/>
        </xdr:cNvSpPr>
      </xdr:nvSpPr>
      <xdr:spPr bwMode="auto">
        <a:xfrm>
          <a:off x="0" y="6720840"/>
          <a:ext cx="6583680" cy="0"/>
        </a:xfrm>
        <a:prstGeom prst="line">
          <a:avLst/>
        </a:prstGeom>
        <a:noFill/>
        <a:ln w="34920">
          <a:solidFill>
            <a:srgbClr val="969696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G35"/>
  <sheetViews>
    <sheetView showGridLines="0" zoomScale="90" zoomScaleNormal="90" zoomScaleSheetLayoutView="110" zoomScalePageLayoutView="110" workbookViewId="0">
      <pane ySplit="6" topLeftCell="A7" activePane="bottomLeft" state="frozen"/>
      <selection pane="bottomLeft" activeCell="C14" sqref="C14"/>
    </sheetView>
  </sheetViews>
  <sheetFormatPr baseColWidth="10" defaultColWidth="11.7109375" defaultRowHeight="15"/>
  <cols>
    <col min="1" max="1" width="11.7109375" style="133" customWidth="1"/>
    <col min="2" max="2" width="7" style="134" customWidth="1"/>
    <col min="3" max="6" width="11.7109375" style="132" customWidth="1"/>
    <col min="7" max="7" width="31.85546875" style="132" customWidth="1"/>
    <col min="8" max="16384" width="11.7109375" style="132"/>
  </cols>
  <sheetData>
    <row r="2" spans="1:7" ht="15.75">
      <c r="A2" s="552" t="s">
        <v>358</v>
      </c>
      <c r="B2" s="552"/>
      <c r="C2" s="552"/>
      <c r="D2" s="552"/>
      <c r="E2" s="552"/>
      <c r="F2" s="552"/>
      <c r="G2" s="552"/>
    </row>
    <row r="3" spans="1:7">
      <c r="A3" s="553" t="s">
        <v>299</v>
      </c>
      <c r="B3" s="553"/>
      <c r="C3" s="553"/>
      <c r="D3" s="553"/>
      <c r="E3" s="553"/>
      <c r="F3" s="553"/>
      <c r="G3" s="553"/>
    </row>
    <row r="4" spans="1:7">
      <c r="A4" s="553" t="s">
        <v>392</v>
      </c>
      <c r="B4" s="553"/>
      <c r="C4" s="553"/>
      <c r="D4" s="553"/>
      <c r="E4" s="553"/>
      <c r="F4" s="553"/>
      <c r="G4" s="553"/>
    </row>
    <row r="6" spans="1:7" ht="15.75">
      <c r="A6" s="552" t="s">
        <v>391</v>
      </c>
      <c r="B6" s="552"/>
      <c r="C6" s="552"/>
      <c r="D6" s="552"/>
      <c r="E6" s="552"/>
      <c r="F6" s="552"/>
      <c r="G6" s="552"/>
    </row>
    <row r="7" spans="1:7" s="346" customFormat="1" ht="20.100000000000001" customHeight="1">
      <c r="A7" s="343"/>
      <c r="B7" s="344"/>
      <c r="C7" s="345"/>
    </row>
    <row r="8" spans="1:7" s="346" customFormat="1" ht="20.100000000000001" customHeight="1">
      <c r="A8" s="347" t="s">
        <v>222</v>
      </c>
      <c r="B8" s="348">
        <v>1</v>
      </c>
      <c r="C8" s="349" t="s">
        <v>0</v>
      </c>
      <c r="D8" s="350"/>
      <c r="E8" s="351"/>
      <c r="F8" s="351"/>
      <c r="G8" s="351"/>
    </row>
    <row r="9" spans="1:7" s="346" customFormat="1" ht="20.100000000000001" customHeight="1">
      <c r="A9" s="347" t="s">
        <v>222</v>
      </c>
      <c r="B9" s="348">
        <v>2</v>
      </c>
      <c r="C9" s="349" t="s">
        <v>1</v>
      </c>
      <c r="D9" s="350"/>
      <c r="E9" s="351"/>
      <c r="F9" s="351"/>
      <c r="G9" s="351"/>
    </row>
    <row r="10" spans="1:7" s="346" customFormat="1" ht="20.100000000000001" customHeight="1">
      <c r="A10" s="347" t="s">
        <v>222</v>
      </c>
      <c r="B10" s="348">
        <v>3</v>
      </c>
      <c r="C10" s="349" t="s">
        <v>2</v>
      </c>
      <c r="D10" s="350"/>
      <c r="E10" s="351"/>
      <c r="F10" s="351"/>
      <c r="G10" s="351"/>
    </row>
    <row r="11" spans="1:7" s="346" customFormat="1" ht="20.100000000000001" customHeight="1">
      <c r="A11" s="347" t="s">
        <v>222</v>
      </c>
      <c r="B11" s="348">
        <v>4</v>
      </c>
      <c r="C11" s="349" t="s">
        <v>3</v>
      </c>
      <c r="D11" s="350"/>
      <c r="E11" s="351"/>
      <c r="F11" s="351"/>
      <c r="G11" s="351"/>
    </row>
    <row r="12" spans="1:7" s="346" customFormat="1" ht="20.100000000000001" customHeight="1">
      <c r="A12" s="347" t="s">
        <v>222</v>
      </c>
      <c r="B12" s="348">
        <v>5</v>
      </c>
      <c r="C12" s="349" t="s">
        <v>4</v>
      </c>
      <c r="D12" s="350"/>
      <c r="E12" s="351"/>
      <c r="F12" s="351"/>
      <c r="G12" s="351"/>
    </row>
    <row r="13" spans="1:7" s="346" customFormat="1" ht="20.100000000000001" customHeight="1">
      <c r="A13" s="347" t="s">
        <v>222</v>
      </c>
      <c r="B13" s="348">
        <v>6</v>
      </c>
      <c r="C13" s="349" t="s">
        <v>321</v>
      </c>
      <c r="D13" s="350"/>
      <c r="E13" s="351"/>
      <c r="F13" s="351"/>
      <c r="G13" s="351"/>
    </row>
    <row r="14" spans="1:7" s="346" customFormat="1" ht="20.100000000000001" customHeight="1">
      <c r="A14" s="347" t="s">
        <v>222</v>
      </c>
      <c r="B14" s="348">
        <v>7</v>
      </c>
      <c r="C14" s="349" t="s">
        <v>5</v>
      </c>
      <c r="D14" s="350"/>
      <c r="E14" s="351"/>
      <c r="F14" s="351"/>
      <c r="G14" s="351"/>
    </row>
    <row r="15" spans="1:7" s="346" customFormat="1" ht="20.100000000000001" customHeight="1">
      <c r="A15" s="347" t="s">
        <v>222</v>
      </c>
      <c r="B15" s="348">
        <v>8</v>
      </c>
      <c r="C15" s="349" t="s">
        <v>6</v>
      </c>
      <c r="D15" s="350"/>
      <c r="E15" s="351"/>
      <c r="F15" s="351"/>
      <c r="G15" s="351"/>
    </row>
    <row r="16" spans="1:7" s="346" customFormat="1" ht="20.100000000000001" customHeight="1">
      <c r="A16" s="347" t="s">
        <v>222</v>
      </c>
      <c r="B16" s="348">
        <v>9</v>
      </c>
      <c r="C16" s="349" t="s">
        <v>7</v>
      </c>
      <c r="D16" s="350"/>
      <c r="E16" s="351"/>
      <c r="F16" s="351"/>
      <c r="G16" s="351"/>
    </row>
    <row r="17" spans="1:7" s="346" customFormat="1" ht="20.100000000000001" customHeight="1">
      <c r="A17" s="347" t="s">
        <v>222</v>
      </c>
      <c r="B17" s="348">
        <v>10</v>
      </c>
      <c r="C17" s="349" t="s">
        <v>8</v>
      </c>
      <c r="D17" s="350"/>
      <c r="E17" s="351"/>
      <c r="F17" s="351"/>
      <c r="G17" s="351"/>
    </row>
    <row r="18" spans="1:7" s="346" customFormat="1" ht="20.100000000000001" customHeight="1">
      <c r="A18" s="347" t="s">
        <v>222</v>
      </c>
      <c r="B18" s="348">
        <v>11</v>
      </c>
      <c r="C18" s="349" t="s">
        <v>9</v>
      </c>
      <c r="D18" s="350"/>
      <c r="E18" s="351"/>
      <c r="F18" s="351"/>
      <c r="G18" s="351"/>
    </row>
    <row r="19" spans="1:7" s="346" customFormat="1" ht="20.100000000000001" customHeight="1">
      <c r="A19" s="347" t="s">
        <v>222</v>
      </c>
      <c r="B19" s="348">
        <v>12</v>
      </c>
      <c r="C19" s="349" t="s">
        <v>10</v>
      </c>
      <c r="D19" s="350"/>
      <c r="E19" s="351"/>
      <c r="F19" s="351"/>
      <c r="G19" s="351"/>
    </row>
    <row r="20" spans="1:7" s="346" customFormat="1" ht="20.100000000000001" customHeight="1">
      <c r="A20" s="347" t="s">
        <v>222</v>
      </c>
      <c r="B20" s="348">
        <v>13</v>
      </c>
      <c r="C20" s="349" t="s">
        <v>11</v>
      </c>
      <c r="D20" s="350"/>
      <c r="E20" s="351"/>
      <c r="F20" s="351"/>
      <c r="G20" s="351"/>
    </row>
    <row r="21" spans="1:7" s="346" customFormat="1" ht="20.100000000000001" customHeight="1">
      <c r="A21" s="347" t="s">
        <v>222</v>
      </c>
      <c r="B21" s="348">
        <v>14</v>
      </c>
      <c r="C21" s="349" t="s">
        <v>231</v>
      </c>
      <c r="D21" s="350"/>
      <c r="E21" s="351"/>
      <c r="F21" s="351"/>
      <c r="G21" s="351"/>
    </row>
    <row r="22" spans="1:7" s="346" customFormat="1" ht="20.100000000000001" customHeight="1">
      <c r="A22" s="347"/>
      <c r="B22" s="348"/>
      <c r="C22" s="349"/>
      <c r="D22" s="350"/>
      <c r="E22" s="351"/>
      <c r="F22" s="351"/>
      <c r="G22" s="351"/>
    </row>
    <row r="23" spans="1:7" s="346" customFormat="1" ht="20.100000000000001" customHeight="1">
      <c r="A23" s="343"/>
      <c r="B23" s="344"/>
      <c r="C23" s="345"/>
    </row>
    <row r="24" spans="1:7">
      <c r="C24" s="352"/>
    </row>
    <row r="25" spans="1:7">
      <c r="C25" s="352"/>
    </row>
    <row r="26" spans="1:7">
      <c r="C26" s="352"/>
    </row>
    <row r="27" spans="1:7">
      <c r="C27" s="352"/>
    </row>
    <row r="31" spans="1:7" ht="75" customHeight="1"/>
    <row r="33" spans="2:5" ht="17.25" customHeight="1">
      <c r="D33" s="553"/>
      <c r="E33" s="553"/>
    </row>
    <row r="35" spans="2:5">
      <c r="B35" s="132"/>
    </row>
  </sheetData>
  <mergeCells count="5">
    <mergeCell ref="A6:G6"/>
    <mergeCell ref="D33:E33"/>
    <mergeCell ref="A2:G2"/>
    <mergeCell ref="A3:G3"/>
    <mergeCell ref="A4:G4"/>
  </mergeCells>
  <phoneticPr fontId="2" type="noConversion"/>
  <hyperlinks>
    <hyperlink ref="A9:G9" location="'Cedula 2'!A1" display="Cédula"/>
    <hyperlink ref="A10:G10" location="'Cédula 3'!A1" display="Cédula"/>
    <hyperlink ref="A11:G11" location="'Cédula 4'!A1" display="Cédula"/>
    <hyperlink ref="A13:G13" location="'Cédula 6'!A1" display="Cédula"/>
    <hyperlink ref="A14:G14" location="'Cédula 7'!A1" display="Cédula"/>
    <hyperlink ref="A15:G15" location="'Cédula 8'!A1" display="Cédula"/>
    <hyperlink ref="A16:G16" location="'Cédula 9'!A1" display="Cédula"/>
    <hyperlink ref="A17:G17" location="'Cédula 10'!A1" display="Cédula"/>
    <hyperlink ref="A19:G19" location="'Cédula 12'!A1" display="Cédula"/>
    <hyperlink ref="A21:G21" location="'Cédula 14'!A1" display="Cédula"/>
    <hyperlink ref="A20" location="'Cédula 14'!A1" display="Cédula"/>
    <hyperlink ref="A12:G12" location="'Cédula 5'!A1" display="Cédula"/>
    <hyperlink ref="A8" location="'Cédula 1'!A1" display="Cédula"/>
    <hyperlink ref="B19" location="'Cédula 13'!A1" display="'Cédula 13'!A1"/>
    <hyperlink ref="B20" location="'Cédula 14'!A1" display="'Cédula 14'!A1"/>
    <hyperlink ref="A20:G20" location="'Cédula 13'!A1" display="Cédula"/>
    <hyperlink ref="A18" location="'Cédula 12'!A22" display="Cédula"/>
    <hyperlink ref="A18:G18" location="'Cédula 11'!A1" display="Cédula"/>
    <hyperlink ref="A8:G8" location="'Cédula 1'!A1" display="Cédula"/>
  </hyperlinks>
  <printOptions horizontalCentered="1"/>
  <pageMargins left="0.25" right="0.25" top="0.75" bottom="0.75" header="0.3" footer="0.3"/>
  <pageSetup paperSize="119" scale="88" firstPageNumber="0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pageSetUpPr fitToPage="1"/>
  </sheetPr>
  <dimension ref="A2:I59"/>
  <sheetViews>
    <sheetView showGridLines="0" zoomScaleNormal="100" zoomScaleSheetLayoutView="90" zoomScalePageLayoutView="125" workbookViewId="0">
      <pane ySplit="4" topLeftCell="A17" activePane="bottomLeft" state="frozen"/>
      <selection pane="bottomLeft" activeCell="B14" sqref="B14"/>
    </sheetView>
  </sheetViews>
  <sheetFormatPr baseColWidth="10" defaultColWidth="11.42578125" defaultRowHeight="15"/>
  <cols>
    <col min="1" max="1" width="9.140625" style="154" bestFit="1" customWidth="1"/>
    <col min="2" max="2" width="64.42578125" style="154" customWidth="1"/>
    <col min="3" max="3" width="15.42578125" style="169" customWidth="1"/>
    <col min="4" max="4" width="2.7109375" style="169" customWidth="1"/>
    <col min="5" max="5" width="18" style="169" customWidth="1"/>
    <col min="6" max="6" width="14.85546875" style="355" bestFit="1" customWidth="1"/>
    <col min="7" max="7" width="3.42578125" style="154" customWidth="1"/>
    <col min="8" max="8" width="26.7109375" style="154" customWidth="1"/>
    <col min="9" max="16384" width="11.42578125" style="154"/>
  </cols>
  <sheetData>
    <row r="2" spans="1:7" ht="15.75">
      <c r="B2" s="552" t="s">
        <v>358</v>
      </c>
      <c r="C2" s="552"/>
      <c r="D2" s="552"/>
      <c r="E2" s="552"/>
      <c r="F2" s="353"/>
    </row>
    <row r="3" spans="1:7" s="156" customFormat="1" ht="15.75">
      <c r="B3" s="583" t="s">
        <v>350</v>
      </c>
      <c r="C3" s="583"/>
      <c r="D3" s="583"/>
      <c r="E3" s="583"/>
      <c r="F3" s="354"/>
    </row>
    <row r="4" spans="1:7" s="156" customFormat="1" ht="15.75">
      <c r="B4" s="552" t="s">
        <v>393</v>
      </c>
      <c r="C4" s="552"/>
      <c r="D4" s="552"/>
      <c r="E4" s="552"/>
      <c r="F4" s="354"/>
    </row>
    <row r="5" spans="1:7" ht="15.75">
      <c r="E5" s="381" t="s">
        <v>300</v>
      </c>
    </row>
    <row r="6" spans="1:7">
      <c r="A6" s="356" t="s">
        <v>223</v>
      </c>
      <c r="B6" s="132"/>
      <c r="C6" s="357"/>
      <c r="D6" s="357"/>
      <c r="F6" s="358"/>
    </row>
    <row r="7" spans="1:7" s="156" customFormat="1" ht="15.75">
      <c r="B7" s="359" t="s">
        <v>255</v>
      </c>
      <c r="C7" s="360"/>
      <c r="D7" s="361"/>
      <c r="E7" s="551">
        <f>C8+C9</f>
        <v>3863125</v>
      </c>
      <c r="F7" s="362"/>
    </row>
    <row r="8" spans="1:7">
      <c r="B8" s="132" t="s">
        <v>256</v>
      </c>
      <c r="C8" s="548">
        <v>386312.5</v>
      </c>
      <c r="D8" s="357"/>
      <c r="E8" s="171"/>
      <c r="F8" s="363"/>
      <c r="G8" s="356"/>
    </row>
    <row r="9" spans="1:7" ht="15.75" thickBot="1">
      <c r="B9" s="132" t="s">
        <v>257</v>
      </c>
      <c r="C9" s="548">
        <v>3476812.5</v>
      </c>
      <c r="D9" s="364"/>
      <c r="E9" s="171"/>
      <c r="F9" s="363"/>
      <c r="G9" s="356"/>
    </row>
    <row r="10" spans="1:7" s="156" customFormat="1" ht="15.75">
      <c r="B10" s="359" t="s">
        <v>258</v>
      </c>
      <c r="C10" s="172"/>
      <c r="D10" s="361"/>
      <c r="E10" s="548">
        <f>C11+C12</f>
        <v>1655625</v>
      </c>
      <c r="F10" s="347"/>
      <c r="G10" s="365"/>
    </row>
    <row r="11" spans="1:7">
      <c r="B11" s="132" t="s">
        <v>256</v>
      </c>
      <c r="C11" s="548">
        <v>165562</v>
      </c>
      <c r="D11" s="357"/>
      <c r="E11" s="170"/>
      <c r="F11" s="363"/>
      <c r="G11" s="356"/>
    </row>
    <row r="12" spans="1:7" ht="15.75" thickBot="1">
      <c r="B12" s="132" t="s">
        <v>257</v>
      </c>
      <c r="C12" s="548">
        <v>1490063</v>
      </c>
      <c r="D12" s="364"/>
      <c r="E12" s="366"/>
      <c r="F12" s="363"/>
      <c r="G12" s="356"/>
    </row>
    <row r="13" spans="1:7" ht="15.75">
      <c r="B13" s="359" t="s">
        <v>259</v>
      </c>
      <c r="D13" s="357"/>
      <c r="E13" s="533">
        <f>E7+E10</f>
        <v>5518750</v>
      </c>
      <c r="F13" s="363"/>
      <c r="G13" s="368"/>
    </row>
    <row r="14" spans="1:7">
      <c r="A14" s="132" t="s">
        <v>13</v>
      </c>
      <c r="C14" s="357"/>
      <c r="D14" s="357"/>
      <c r="E14" s="357"/>
      <c r="F14" s="358"/>
    </row>
    <row r="15" spans="1:7" s="156" customFormat="1" ht="15.75">
      <c r="B15" s="359" t="s">
        <v>260</v>
      </c>
      <c r="C15" s="361"/>
      <c r="D15" s="361"/>
      <c r="E15" s="548">
        <f>+C16+C17</f>
        <v>35000</v>
      </c>
      <c r="F15" s="369"/>
    </row>
    <row r="16" spans="1:7">
      <c r="B16" s="132" t="s">
        <v>256</v>
      </c>
      <c r="C16" s="548">
        <v>3500</v>
      </c>
      <c r="D16" s="533"/>
      <c r="E16" s="533"/>
      <c r="F16" s="358"/>
    </row>
    <row r="17" spans="2:7">
      <c r="B17" s="132" t="s">
        <v>257</v>
      </c>
      <c r="C17" s="548">
        <v>31500</v>
      </c>
      <c r="D17" s="533"/>
      <c r="E17" s="533"/>
      <c r="F17" s="358"/>
    </row>
    <row r="18" spans="2:7" s="156" customFormat="1" ht="15.75">
      <c r="B18" s="359" t="s">
        <v>261</v>
      </c>
      <c r="C18" s="548"/>
      <c r="D18" s="533"/>
      <c r="E18" s="548">
        <f>+C19+C20</f>
        <v>15000</v>
      </c>
      <c r="F18" s="369"/>
    </row>
    <row r="19" spans="2:7">
      <c r="B19" s="132" t="s">
        <v>256</v>
      </c>
      <c r="C19" s="548">
        <v>1500</v>
      </c>
      <c r="D19" s="533"/>
      <c r="E19" s="548"/>
      <c r="F19" s="358"/>
    </row>
    <row r="20" spans="2:7">
      <c r="B20" s="132" t="s">
        <v>257</v>
      </c>
      <c r="C20" s="548">
        <v>13500</v>
      </c>
      <c r="D20" s="533"/>
      <c r="E20" s="548"/>
      <c r="F20" s="358"/>
    </row>
    <row r="21" spans="2:7" ht="15.75">
      <c r="B21" s="359" t="s">
        <v>262</v>
      </c>
      <c r="C21" s="533"/>
      <c r="D21" s="533"/>
      <c r="E21" s="548">
        <f>E15+E18</f>
        <v>50000</v>
      </c>
      <c r="F21" s="370" t="s">
        <v>232</v>
      </c>
    </row>
    <row r="22" spans="2:7" ht="15.75">
      <c r="B22" s="359"/>
      <c r="C22" s="533"/>
      <c r="D22" s="533"/>
      <c r="E22" s="548"/>
      <c r="F22" s="363"/>
      <c r="G22" s="356"/>
    </row>
    <row r="23" spans="2:7" ht="15.75">
      <c r="B23" s="359" t="s">
        <v>14</v>
      </c>
      <c r="C23" s="533"/>
      <c r="D23" s="533"/>
      <c r="E23" s="548">
        <f>+E13-E21</f>
        <v>5468750</v>
      </c>
      <c r="F23" s="371"/>
    </row>
    <row r="24" spans="2:7" ht="15.75">
      <c r="B24" s="359" t="s">
        <v>15</v>
      </c>
      <c r="C24" s="533"/>
      <c r="D24" s="533"/>
      <c r="E24" s="548">
        <f>'Cédula 3'!E38</f>
        <v>2640000</v>
      </c>
      <c r="F24" s="363" t="s">
        <v>45</v>
      </c>
      <c r="G24" s="368"/>
    </row>
    <row r="25" spans="2:7">
      <c r="B25" s="132" t="s">
        <v>16</v>
      </c>
      <c r="C25" s="533"/>
      <c r="D25" s="533"/>
      <c r="E25" s="548">
        <f>+E23-E24</f>
        <v>2828750</v>
      </c>
      <c r="F25" s="371"/>
    </row>
    <row r="26" spans="2:7" ht="15.75">
      <c r="B26" s="359" t="s">
        <v>17</v>
      </c>
      <c r="C26" s="533"/>
      <c r="D26" s="533"/>
      <c r="E26" s="548">
        <f>SUM(C27:C30)</f>
        <v>1672366.3333333335</v>
      </c>
      <c r="F26" s="358"/>
    </row>
    <row r="27" spans="2:7">
      <c r="B27" s="132" t="s">
        <v>263</v>
      </c>
      <c r="C27" s="548">
        <f>+'Cédula 7'!D30*0.1</f>
        <v>73373.583333333328</v>
      </c>
      <c r="D27" s="548"/>
      <c r="E27" s="548"/>
      <c r="F27" s="363" t="s">
        <v>46</v>
      </c>
    </row>
    <row r="28" spans="2:7">
      <c r="B28" s="132" t="s">
        <v>264</v>
      </c>
      <c r="C28" s="548">
        <f>+'Cédula 7'!C30*0.1</f>
        <v>93863.05</v>
      </c>
      <c r="D28" s="548"/>
      <c r="E28" s="548"/>
      <c r="F28" s="363" t="s">
        <v>46</v>
      </c>
    </row>
    <row r="29" spans="2:7">
      <c r="B29" s="132" t="s">
        <v>265</v>
      </c>
      <c r="C29" s="548">
        <f>+'Cédula 7'!D30*0.9</f>
        <v>660362.25</v>
      </c>
      <c r="D29" s="548"/>
      <c r="E29" s="548"/>
      <c r="F29" s="363" t="s">
        <v>46</v>
      </c>
    </row>
    <row r="30" spans="2:7">
      <c r="B30" s="132" t="s">
        <v>266</v>
      </c>
      <c r="C30" s="548">
        <f>+'Cédula 7'!C30*0.9</f>
        <v>844767.45000000007</v>
      </c>
      <c r="D30" s="548"/>
      <c r="E30" s="548"/>
      <c r="F30" s="363" t="s">
        <v>46</v>
      </c>
    </row>
    <row r="31" spans="2:7" ht="15.75">
      <c r="B31" s="359" t="s">
        <v>18</v>
      </c>
      <c r="C31" s="548"/>
      <c r="D31" s="548"/>
      <c r="E31" s="548">
        <f>+E25-E26</f>
        <v>1156383.6666666665</v>
      </c>
      <c r="F31" s="371"/>
    </row>
    <row r="32" spans="2:7" ht="15.75">
      <c r="B32" s="359"/>
      <c r="C32" s="548"/>
      <c r="D32" s="548"/>
      <c r="E32" s="548"/>
      <c r="F32" s="371"/>
    </row>
    <row r="33" spans="2:9" ht="15.75">
      <c r="B33" s="359" t="s">
        <v>270</v>
      </c>
      <c r="C33" s="548"/>
      <c r="D33" s="548"/>
      <c r="E33" s="548">
        <f>C34-C35+C36-C37</f>
        <v>714951.7433333334</v>
      </c>
      <c r="F33" s="371"/>
    </row>
    <row r="34" spans="2:9">
      <c r="B34" s="132" t="s">
        <v>267</v>
      </c>
      <c r="C34" s="548">
        <v>706427.22033333336</v>
      </c>
      <c r="D34" s="548"/>
      <c r="E34" s="548"/>
      <c r="F34" s="363"/>
      <c r="G34" s="368"/>
    </row>
    <row r="35" spans="2:9">
      <c r="B35" s="132" t="s">
        <v>491</v>
      </c>
      <c r="C35" s="548">
        <f>1750+291730</f>
        <v>293480</v>
      </c>
      <c r="D35" s="548"/>
      <c r="E35" s="548"/>
      <c r="F35" s="363"/>
      <c r="G35" s="368"/>
    </row>
    <row r="36" spans="2:9">
      <c r="B36" s="132" t="s">
        <v>268</v>
      </c>
      <c r="C36" s="548">
        <v>302754.52299999999</v>
      </c>
      <c r="D36" s="548"/>
      <c r="E36" s="548"/>
      <c r="F36" s="363"/>
      <c r="G36" s="368"/>
    </row>
    <row r="37" spans="2:9">
      <c r="B37" s="132" t="s">
        <v>269</v>
      </c>
      <c r="C37" s="548">
        <v>750</v>
      </c>
      <c r="D37" s="548"/>
      <c r="E37" s="548"/>
      <c r="F37" s="363"/>
      <c r="G37" s="368"/>
    </row>
    <row r="38" spans="2:9" s="156" customFormat="1" ht="15.75">
      <c r="B38" s="359" t="s">
        <v>360</v>
      </c>
      <c r="C38" s="548"/>
      <c r="D38" s="548"/>
      <c r="E38" s="548">
        <f>E31+E33</f>
        <v>1871335.41</v>
      </c>
      <c r="F38" s="371"/>
      <c r="G38" s="359"/>
    </row>
    <row r="39" spans="2:9">
      <c r="B39" s="372"/>
      <c r="C39" s="548"/>
      <c r="D39" s="548"/>
      <c r="E39" s="548"/>
      <c r="F39" s="358"/>
      <c r="G39" s="132"/>
      <c r="H39" s="155"/>
    </row>
    <row r="40" spans="2:9" ht="15.75">
      <c r="B40" s="359" t="s">
        <v>340</v>
      </c>
      <c r="C40" s="548"/>
      <c r="D40" s="548"/>
      <c r="E40" s="548"/>
      <c r="F40" s="358"/>
      <c r="G40" s="132"/>
    </row>
    <row r="41" spans="2:9">
      <c r="B41" s="132" t="s">
        <v>19</v>
      </c>
      <c r="C41" s="548">
        <v>710991</v>
      </c>
      <c r="D41" s="548"/>
      <c r="E41" s="548">
        <f>+C41</f>
        <v>710991</v>
      </c>
      <c r="F41" s="363" t="s">
        <v>47</v>
      </c>
      <c r="G41" s="351">
        <v>14</v>
      </c>
      <c r="H41" s="373"/>
    </row>
    <row r="42" spans="2:9">
      <c r="B42" s="132" t="s">
        <v>361</v>
      </c>
      <c r="C42" s="533"/>
      <c r="D42" s="533"/>
      <c r="E42" s="533"/>
      <c r="F42" s="363"/>
      <c r="G42" s="351"/>
      <c r="H42" s="155"/>
      <c r="I42" s="155"/>
    </row>
    <row r="43" spans="2:9">
      <c r="B43" s="132"/>
      <c r="C43" s="533"/>
      <c r="D43" s="533"/>
      <c r="E43" s="533"/>
      <c r="F43" s="358"/>
      <c r="G43" s="132"/>
      <c r="H43" s="374"/>
    </row>
    <row r="44" spans="2:9" ht="15.75">
      <c r="B44" s="359" t="s">
        <v>339</v>
      </c>
      <c r="C44" s="357"/>
      <c r="D44" s="357"/>
      <c r="E44" s="367">
        <f>+E38-E41</f>
        <v>1160344.4099999999</v>
      </c>
      <c r="F44" s="363" t="s">
        <v>228</v>
      </c>
      <c r="H44" s="155"/>
    </row>
    <row r="45" spans="2:9">
      <c r="E45" s="375" t="s">
        <v>156</v>
      </c>
      <c r="F45" s="358"/>
      <c r="G45" s="132"/>
    </row>
    <row r="46" spans="2:9">
      <c r="F46" s="358"/>
      <c r="G46" s="132"/>
    </row>
    <row r="47" spans="2:9">
      <c r="F47" s="358"/>
      <c r="G47" s="132"/>
    </row>
    <row r="48" spans="2:9" ht="15.75">
      <c r="E48" s="172"/>
      <c r="F48" s="376"/>
    </row>
    <row r="49" spans="1:6">
      <c r="A49" s="377"/>
      <c r="B49" s="377"/>
      <c r="C49" s="378"/>
      <c r="D49" s="378"/>
    </row>
    <row r="50" spans="1:6">
      <c r="A50" s="377"/>
      <c r="B50" s="377" t="s">
        <v>378</v>
      </c>
      <c r="C50" s="378">
        <f>+E13</f>
        <v>5518750</v>
      </c>
      <c r="D50" s="378"/>
    </row>
    <row r="51" spans="1:6">
      <c r="A51" s="377" t="s">
        <v>379</v>
      </c>
      <c r="B51" s="377" t="s">
        <v>380</v>
      </c>
      <c r="C51" s="378">
        <f>+C34</f>
        <v>706427.22033333336</v>
      </c>
      <c r="D51" s="378"/>
    </row>
    <row r="52" spans="1:6" s="156" customFormat="1" ht="15.75">
      <c r="A52" s="379" t="s">
        <v>381</v>
      </c>
      <c r="B52" s="379" t="s">
        <v>382</v>
      </c>
      <c r="C52" s="380">
        <f>SUM(C50:C51)</f>
        <v>6225177.2203333331</v>
      </c>
      <c r="D52" s="380"/>
      <c r="E52" s="360"/>
      <c r="F52" s="362"/>
    </row>
    <row r="53" spans="1:6">
      <c r="A53" s="377"/>
      <c r="B53" s="377"/>
      <c r="C53" s="378"/>
      <c r="D53" s="378"/>
    </row>
    <row r="54" spans="1:6">
      <c r="A54" s="377"/>
      <c r="B54" s="377"/>
      <c r="C54" s="378"/>
      <c r="D54" s="378"/>
    </row>
    <row r="56" spans="1:6">
      <c r="C56" s="169" t="s">
        <v>384</v>
      </c>
      <c r="E56" s="169" t="s">
        <v>385</v>
      </c>
      <c r="F56" s="355" t="s">
        <v>386</v>
      </c>
    </row>
    <row r="57" spans="1:6">
      <c r="B57" s="154" t="s">
        <v>383</v>
      </c>
      <c r="C57" s="169">
        <f>+C50</f>
        <v>5518750</v>
      </c>
      <c r="E57" s="169">
        <f>+C52</f>
        <v>6225177.2203333331</v>
      </c>
      <c r="F57" s="355">
        <f>+E57-C57</f>
        <v>706427.22033333313</v>
      </c>
    </row>
    <row r="58" spans="1:6">
      <c r="C58" s="582" t="s">
        <v>498</v>
      </c>
    </row>
    <row r="59" spans="1:6">
      <c r="C59" s="581" t="s">
        <v>499</v>
      </c>
    </row>
  </sheetData>
  <mergeCells count="3">
    <mergeCell ref="B4:E4"/>
    <mergeCell ref="B3:E3"/>
    <mergeCell ref="B2:E2"/>
  </mergeCells>
  <phoneticPr fontId="2" type="noConversion"/>
  <hyperlinks>
    <hyperlink ref="A6" location="INDICE!A8" display="INDICE"/>
    <hyperlink ref="F24" location="'Cédula 3'!E34" display="Cédula 3"/>
    <hyperlink ref="F29" location="'Cédula 7'!D34" display="Cédula 7"/>
    <hyperlink ref="F30" location="'Cédula 7'!C34" display="Cédula 7"/>
    <hyperlink ref="G41" location="'Cédula 14'!E10" display="'Cédula 14'!E10"/>
    <hyperlink ref="E45" location="'Cédula 4'!C6" display="Cédula 4"/>
    <hyperlink ref="F21" location="'Cédula 4'!C28" display="Cédula 4 1"/>
    <hyperlink ref="F27:F28" location="'Cédula 8'!D30" display="Cédula 8"/>
    <hyperlink ref="F27" location="'Cédula 7'!D33" display="Cédula 7"/>
    <hyperlink ref="F28" location="'Cédula 7'!C33" display="Cédula 7"/>
    <hyperlink ref="F41" location="'Cédula 8'!H9" display="Cédula 8"/>
  </hyperlinks>
  <printOptions horizontalCentered="1" gridLines="1"/>
  <pageMargins left="0.23622047244094491" right="0.23622047244094491" top="0.74803149606299213" bottom="0.74803149606299213" header="0.31496062992125984" footer="0.31496062992125984"/>
  <pageSetup paperSize="119" scale="80" firstPageNumber="0" orientation="portrait" horizontalDpi="300" verticalDpi="300" r:id="rId1"/>
  <headerFooter alignWithMargins="0"/>
  <cellWatches>
    <cellWatch r="E44"/>
  </cellWatche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>
    <pageSetUpPr fitToPage="1"/>
  </sheetPr>
  <dimension ref="A1:L38"/>
  <sheetViews>
    <sheetView showGridLines="0" zoomScaleNormal="100" zoomScaleSheetLayoutView="85" zoomScalePageLayoutView="85" workbookViewId="0">
      <selection activeCell="C21" sqref="C21"/>
    </sheetView>
  </sheetViews>
  <sheetFormatPr baseColWidth="10" defaultColWidth="11.42578125" defaultRowHeight="15"/>
  <cols>
    <col min="1" max="1" width="12.42578125" style="154" customWidth="1"/>
    <col min="2" max="2" width="51.85546875" style="154" customWidth="1"/>
    <col min="3" max="3" width="17.42578125" style="169" customWidth="1"/>
    <col min="4" max="4" width="11" style="155" customWidth="1"/>
    <col min="5" max="5" width="4" style="154" customWidth="1"/>
    <col min="6" max="6" width="52.42578125" style="154" customWidth="1"/>
    <col min="7" max="7" width="20.28515625" style="170" customWidth="1"/>
    <col min="8" max="8" width="14" style="154" customWidth="1"/>
    <col min="9" max="9" width="2.42578125" style="154" customWidth="1"/>
    <col min="10" max="10" width="11.42578125" style="154" customWidth="1"/>
    <col min="11" max="11" width="16.7109375" style="154" customWidth="1"/>
    <col min="12" max="12" width="12.28515625" style="154" customWidth="1"/>
    <col min="13" max="16384" width="11.42578125" style="154"/>
  </cols>
  <sheetData>
    <row r="1" spans="1:9" ht="15.75">
      <c r="H1" s="382" t="s">
        <v>301</v>
      </c>
    </row>
    <row r="2" spans="1:9" ht="15.75">
      <c r="B2" s="552" t="s">
        <v>358</v>
      </c>
      <c r="C2" s="552"/>
      <c r="D2" s="552"/>
      <c r="E2" s="552"/>
      <c r="F2" s="552"/>
      <c r="G2" s="552"/>
      <c r="H2" s="131"/>
    </row>
    <row r="3" spans="1:9" ht="15.75">
      <c r="B3" s="554" t="s">
        <v>425</v>
      </c>
      <c r="C3" s="554"/>
      <c r="D3" s="554"/>
      <c r="E3" s="554"/>
      <c r="F3" s="554"/>
      <c r="G3" s="554"/>
      <c r="H3" s="157"/>
    </row>
    <row r="5" spans="1:9" ht="15.75">
      <c r="A5" s="149" t="s">
        <v>223</v>
      </c>
      <c r="B5" s="156" t="s">
        <v>41</v>
      </c>
      <c r="F5" s="156" t="s">
        <v>42</v>
      </c>
    </row>
    <row r="6" spans="1:9">
      <c r="B6" s="154" t="s">
        <v>80</v>
      </c>
      <c r="C6" s="548">
        <f>'Cédula 5'!N12</f>
        <v>7000</v>
      </c>
      <c r="D6" s="150" t="s">
        <v>227</v>
      </c>
      <c r="E6" s="155"/>
      <c r="F6" s="155" t="s">
        <v>84</v>
      </c>
      <c r="G6" s="171"/>
      <c r="H6" s="150" t="s">
        <v>227</v>
      </c>
      <c r="I6" s="132"/>
    </row>
    <row r="7" spans="1:9">
      <c r="B7" s="154" t="s">
        <v>394</v>
      </c>
      <c r="C7" s="548">
        <f>'Cédula 3'!E42</f>
        <v>787500</v>
      </c>
      <c r="D7" s="150" t="s">
        <v>45</v>
      </c>
      <c r="E7" s="155"/>
      <c r="F7" s="154" t="s">
        <v>400</v>
      </c>
      <c r="G7" s="548">
        <v>8400</v>
      </c>
    </row>
    <row r="8" spans="1:9">
      <c r="B8" s="154" t="s">
        <v>395</v>
      </c>
      <c r="C8" s="548">
        <f>'Cédula 3'!E43</f>
        <v>1050000</v>
      </c>
      <c r="D8" s="150" t="s">
        <v>45</v>
      </c>
      <c r="E8" s="155"/>
      <c r="F8" s="154" t="s">
        <v>401</v>
      </c>
      <c r="G8" s="548">
        <v>75600</v>
      </c>
    </row>
    <row r="9" spans="1:9">
      <c r="B9" s="154" t="s">
        <v>396</v>
      </c>
      <c r="C9" s="548">
        <f>'Cédula 3'!E44</f>
        <v>1531250</v>
      </c>
      <c r="D9" s="150" t="s">
        <v>45</v>
      </c>
      <c r="E9" s="155"/>
      <c r="F9" s="154" t="s">
        <v>402</v>
      </c>
      <c r="G9" s="548">
        <v>3600</v>
      </c>
    </row>
    <row r="10" spans="1:9">
      <c r="B10" s="154" t="s">
        <v>397</v>
      </c>
      <c r="C10" s="548">
        <f>'Cédula 5'!N13</f>
        <v>200000</v>
      </c>
      <c r="D10" s="150" t="s">
        <v>227</v>
      </c>
      <c r="E10" s="155"/>
      <c r="F10" s="154" t="s">
        <v>403</v>
      </c>
      <c r="G10" s="548">
        <v>32400</v>
      </c>
    </row>
    <row r="11" spans="1:9">
      <c r="B11" s="154" t="s">
        <v>398</v>
      </c>
      <c r="C11" s="548">
        <v>414727</v>
      </c>
      <c r="D11" s="159"/>
      <c r="E11" s="155"/>
      <c r="F11" s="155" t="s">
        <v>417</v>
      </c>
      <c r="G11" s="548">
        <f>987185</f>
        <v>987185</v>
      </c>
      <c r="H11" s="150"/>
      <c r="I11" s="132"/>
    </row>
    <row r="12" spans="1:9">
      <c r="B12" s="154" t="s">
        <v>399</v>
      </c>
      <c r="C12" s="548"/>
      <c r="E12" s="155"/>
      <c r="F12" s="154" t="s">
        <v>418</v>
      </c>
      <c r="G12" s="548"/>
      <c r="H12" s="158"/>
      <c r="I12" s="132"/>
    </row>
    <row r="13" spans="1:9">
      <c r="B13" s="154" t="s">
        <v>400</v>
      </c>
      <c r="C13" s="548">
        <v>23800</v>
      </c>
      <c r="D13" s="150" t="s">
        <v>227</v>
      </c>
      <c r="E13" s="155"/>
      <c r="F13" s="154" t="s">
        <v>400</v>
      </c>
      <c r="G13" s="548">
        <v>3150</v>
      </c>
      <c r="H13" s="150" t="s">
        <v>227</v>
      </c>
      <c r="I13" s="132"/>
    </row>
    <row r="14" spans="1:9">
      <c r="B14" s="154" t="s">
        <v>401</v>
      </c>
      <c r="C14" s="548">
        <v>214200</v>
      </c>
      <c r="D14" s="150" t="s">
        <v>227</v>
      </c>
      <c r="E14" s="155"/>
      <c r="F14" s="154" t="s">
        <v>401</v>
      </c>
      <c r="G14" s="548">
        <v>28350</v>
      </c>
      <c r="H14" s="150" t="s">
        <v>227</v>
      </c>
      <c r="I14" s="132"/>
    </row>
    <row r="15" spans="1:9">
      <c r="B15" s="154" t="s">
        <v>402</v>
      </c>
      <c r="C15" s="548">
        <v>10200</v>
      </c>
      <c r="D15" s="150" t="s">
        <v>227</v>
      </c>
      <c r="E15" s="155"/>
      <c r="F15" s="154" t="s">
        <v>402</v>
      </c>
      <c r="G15" s="548">
        <v>1350</v>
      </c>
      <c r="H15" s="150" t="s">
        <v>227</v>
      </c>
      <c r="I15" s="132"/>
    </row>
    <row r="16" spans="1:9">
      <c r="B16" s="154" t="s">
        <v>403</v>
      </c>
      <c r="C16" s="548">
        <v>91800</v>
      </c>
      <c r="D16" s="150" t="s">
        <v>227</v>
      </c>
      <c r="E16" s="155"/>
      <c r="F16" s="154" t="s">
        <v>403</v>
      </c>
      <c r="G16" s="548">
        <v>12150</v>
      </c>
      <c r="H16" s="150" t="s">
        <v>227</v>
      </c>
      <c r="I16" s="132"/>
    </row>
    <row r="17" spans="2:12">
      <c r="B17" s="154" t="s">
        <v>404</v>
      </c>
      <c r="C17" s="383"/>
      <c r="D17" s="154"/>
      <c r="E17" s="155"/>
      <c r="F17" s="155" t="s">
        <v>419</v>
      </c>
      <c r="G17" s="551">
        <v>0</v>
      </c>
      <c r="H17" s="158"/>
      <c r="I17" s="132"/>
    </row>
    <row r="18" spans="2:12">
      <c r="B18" s="154" t="s">
        <v>405</v>
      </c>
      <c r="C18" s="384">
        <f>SUM(C6:C17)</f>
        <v>4330477</v>
      </c>
      <c r="D18" s="158"/>
      <c r="E18" s="155"/>
      <c r="F18" s="155" t="s">
        <v>420</v>
      </c>
      <c r="G18" s="548">
        <v>291730</v>
      </c>
      <c r="H18" s="158"/>
      <c r="I18" s="132"/>
    </row>
    <row r="19" spans="2:12">
      <c r="B19" s="154" t="s">
        <v>404</v>
      </c>
      <c r="C19" s="383"/>
      <c r="D19" s="159"/>
      <c r="E19" s="155"/>
      <c r="G19" s="383"/>
      <c r="I19" s="132"/>
    </row>
    <row r="20" spans="2:12" ht="15.75">
      <c r="B20" s="154" t="s">
        <v>406</v>
      </c>
      <c r="C20" s="551">
        <f>'Cédula 6'!F12</f>
        <v>150000</v>
      </c>
      <c r="D20" s="150" t="s">
        <v>48</v>
      </c>
      <c r="E20" s="155"/>
      <c r="F20" s="160" t="s">
        <v>349</v>
      </c>
      <c r="G20" s="388">
        <f>SUM(G7:G18)</f>
        <v>1443915</v>
      </c>
      <c r="H20" s="158"/>
      <c r="I20" s="132"/>
    </row>
    <row r="21" spans="2:12" ht="15.75">
      <c r="B21" s="154" t="s">
        <v>407</v>
      </c>
      <c r="C21" s="551">
        <f>-('Cédula 6'!M12)</f>
        <v>-78750</v>
      </c>
      <c r="D21" s="150" t="s">
        <v>48</v>
      </c>
      <c r="E21" s="155"/>
      <c r="G21" s="383"/>
      <c r="H21" s="161"/>
      <c r="I21" s="132"/>
      <c r="K21" s="162"/>
    </row>
    <row r="22" spans="2:12">
      <c r="B22" s="154" t="s">
        <v>408</v>
      </c>
      <c r="C22" s="551">
        <f>'Cédula 6'!F10+'Cédula 6'!F11</f>
        <v>68750</v>
      </c>
      <c r="D22" s="150" t="s">
        <v>48</v>
      </c>
      <c r="E22" s="155"/>
      <c r="F22" s="155" t="s">
        <v>421</v>
      </c>
      <c r="G22" s="533">
        <v>1700000</v>
      </c>
      <c r="H22" s="158"/>
      <c r="I22" s="132"/>
      <c r="L22" s="155"/>
    </row>
    <row r="23" spans="2:12">
      <c r="B23" s="154" t="s">
        <v>409</v>
      </c>
      <c r="C23" s="551">
        <f>-('Cédula 6'!M10+'Cédula 6'!M11)</f>
        <v>-68750</v>
      </c>
      <c r="D23" s="150" t="s">
        <v>48</v>
      </c>
      <c r="E23" s="155"/>
      <c r="F23" s="155" t="s">
        <v>422</v>
      </c>
      <c r="G23" s="533">
        <v>202188</v>
      </c>
      <c r="H23" s="159"/>
      <c r="I23" s="132"/>
    </row>
    <row r="24" spans="2:12">
      <c r="B24" s="154" t="s">
        <v>410</v>
      </c>
      <c r="C24" s="551">
        <f>'Cédula 6'!F13+'Cédula 6'!F14</f>
        <v>395000</v>
      </c>
      <c r="D24" s="150" t="s">
        <v>48</v>
      </c>
      <c r="E24" s="155"/>
      <c r="F24" s="155" t="s">
        <v>423</v>
      </c>
      <c r="G24" s="533">
        <f>350553</f>
        <v>350553</v>
      </c>
      <c r="H24" s="159"/>
      <c r="I24" s="132"/>
    </row>
    <row r="25" spans="2:12">
      <c r="B25" s="154" t="s">
        <v>411</v>
      </c>
      <c r="C25" s="551">
        <f>-('Cédula 6'!M13+'Cédula 6'!M14-1)</f>
        <v>-285665.66666666663</v>
      </c>
      <c r="D25" s="150" t="s">
        <v>48</v>
      </c>
      <c r="E25" s="155"/>
      <c r="F25" s="155" t="s">
        <v>424</v>
      </c>
      <c r="G25" s="533">
        <f>'Cédula 1'!E44</f>
        <v>1160344.4099999999</v>
      </c>
      <c r="H25" s="150" t="s">
        <v>44</v>
      </c>
      <c r="I25" s="150">
        <v>4</v>
      </c>
    </row>
    <row r="26" spans="2:12">
      <c r="B26" s="154" t="s">
        <v>412</v>
      </c>
      <c r="C26" s="551">
        <f>'Cédula 6'!F9+'Cédula 6'!F19+'Cédula 6'!F18</f>
        <v>382292</v>
      </c>
      <c r="D26" s="150" t="s">
        <v>48</v>
      </c>
      <c r="E26" s="155"/>
      <c r="F26" s="155"/>
      <c r="G26" s="383"/>
      <c r="H26" s="159"/>
      <c r="I26" s="132"/>
      <c r="K26" s="163"/>
    </row>
    <row r="27" spans="2:12">
      <c r="B27" s="154" t="s">
        <v>413</v>
      </c>
      <c r="C27" s="551">
        <f>-'Cédula 6'!M9-'Cédula 6'!M18-'Cédula 6'!M19</f>
        <v>-40928.833333333336</v>
      </c>
      <c r="D27" s="150" t="s">
        <v>48</v>
      </c>
      <c r="E27" s="155"/>
      <c r="F27" s="155"/>
      <c r="G27" s="383"/>
      <c r="H27" s="159"/>
      <c r="I27" s="132"/>
    </row>
    <row r="28" spans="2:12">
      <c r="B28" s="154" t="s">
        <v>414</v>
      </c>
      <c r="C28" s="551">
        <v>4575</v>
      </c>
      <c r="D28" s="150"/>
      <c r="E28" s="155"/>
      <c r="F28" s="155"/>
      <c r="G28" s="383"/>
      <c r="H28" s="159"/>
      <c r="I28" s="132"/>
    </row>
    <row r="29" spans="2:12" ht="15.75">
      <c r="B29" s="154" t="s">
        <v>404</v>
      </c>
      <c r="C29" s="384"/>
      <c r="D29" s="158"/>
      <c r="E29" s="155"/>
      <c r="F29" s="160"/>
      <c r="G29" s="388">
        <f>SUM(G22:G27)</f>
        <v>3413085.41</v>
      </c>
      <c r="H29" s="161"/>
    </row>
    <row r="30" spans="2:12">
      <c r="B30" s="154" t="s">
        <v>415</v>
      </c>
      <c r="C30" s="533">
        <f>SUM(C20:C29)</f>
        <v>526522.5</v>
      </c>
      <c r="E30" s="155"/>
      <c r="G30" s="383"/>
    </row>
    <row r="31" spans="2:12">
      <c r="B31" s="154" t="s">
        <v>404</v>
      </c>
      <c r="C31" s="385"/>
      <c r="D31" s="164"/>
      <c r="G31" s="383"/>
      <c r="H31" s="155"/>
    </row>
    <row r="32" spans="2:12" ht="16.5" thickBot="1">
      <c r="B32" s="156" t="s">
        <v>404</v>
      </c>
      <c r="C32" s="386"/>
      <c r="D32" s="165"/>
      <c r="F32" s="156"/>
      <c r="G32" s="386"/>
      <c r="H32" s="165"/>
      <c r="K32" s="155"/>
    </row>
    <row r="33" spans="2:11" ht="16.5" thickTop="1">
      <c r="B33" s="156" t="s">
        <v>416</v>
      </c>
      <c r="C33" s="387">
        <f>+C18+C30</f>
        <v>4856999.5</v>
      </c>
      <c r="D33" s="160"/>
      <c r="E33" s="156"/>
      <c r="F33" s="156" t="s">
        <v>43</v>
      </c>
      <c r="G33" s="387">
        <f>G29+G20</f>
        <v>4857000.41</v>
      </c>
      <c r="H33" s="160"/>
      <c r="K33" s="166"/>
    </row>
    <row r="34" spans="2:11">
      <c r="C34" s="170"/>
      <c r="D34" s="154"/>
      <c r="F34" s="155"/>
      <c r="G34" s="169"/>
      <c r="H34" s="155"/>
      <c r="K34" s="155"/>
    </row>
    <row r="35" spans="2:11">
      <c r="D35" s="328"/>
      <c r="F35" s="163"/>
      <c r="G35" s="169"/>
    </row>
    <row r="36" spans="2:11">
      <c r="F36" s="166">
        <f>+C33-G33</f>
        <v>-0.91000000014901161</v>
      </c>
      <c r="G36" s="169"/>
      <c r="H36" s="155"/>
    </row>
    <row r="37" spans="2:11">
      <c r="D37" s="328"/>
      <c r="F37" s="163"/>
      <c r="G37" s="169"/>
      <c r="H37" s="155"/>
    </row>
    <row r="38" spans="2:11" ht="18">
      <c r="G38" s="152"/>
      <c r="H38" s="152"/>
    </row>
  </sheetData>
  <mergeCells count="2">
    <mergeCell ref="B2:G2"/>
    <mergeCell ref="B3:G3"/>
  </mergeCells>
  <phoneticPr fontId="2" type="noConversion"/>
  <hyperlinks>
    <hyperlink ref="A5" location="INDICE!A9" display="INDICE"/>
    <hyperlink ref="H25" location="'Cédula 1'!E44" display="Cédula 1"/>
    <hyperlink ref="I25" location="'Cédula 4'!C6" display="'Cédula 4'!C6"/>
    <hyperlink ref="D7" location="'Cédula 3'!E38" display="Cédula 3"/>
    <hyperlink ref="D8" location="'Cédula 3'!E39" display="Cédula 3"/>
    <hyperlink ref="D9" location="'Cédula 3'!E40" display="Cédula 3"/>
    <hyperlink ref="D20" location="'Cédula 6'!F15" display="Cédula 6"/>
    <hyperlink ref="D21:D27" location="'Cédula 7'!F15" display="Cédula 7"/>
    <hyperlink ref="D22" location="'Cédula 6'!F13" display="Cédula 6"/>
    <hyperlink ref="D23" location="'Cédula 6'!M14" display="Cédula 6"/>
    <hyperlink ref="D24" location="'Cédula 6'!F16" display="Cédula 6"/>
    <hyperlink ref="D26" location="'Cédula 6'!F11" display="Cédula 6"/>
    <hyperlink ref="D27" location="'Cédula 6'!M12" display="Cédula 6"/>
    <hyperlink ref="D6" location="'Cédula 5'!N12" display="Cédula 5"/>
    <hyperlink ref="D13" location="'Cédula 5'!N14" display="Cédula 5"/>
    <hyperlink ref="D10" location="'Cédula 5'!N13" display="Cédula 5"/>
    <hyperlink ref="H6" location="'Cédula 5'!N24" display="Cédula 5"/>
    <hyperlink ref="C27" location="'Cedula 2'!M12" display="'Cedula 2'!M12"/>
    <hyperlink ref="C25" location="'Cedula 2'!M17" display="'Cedula 2'!M17"/>
    <hyperlink ref="D25" location="'Cédula 6'!M17" display="Cédula 6"/>
    <hyperlink ref="D21" location="'Cédula 6'!M15" display="Cédula 6"/>
    <hyperlink ref="D14:D16" location="'Cédula 5'!N14" display="Cédula 5"/>
    <hyperlink ref="H13:H16" location="'Cédula 5'!N14" display="Cédula 5"/>
    <hyperlink ref="H13" location="'Cédula 5'!N25" display="Cédula 5"/>
    <hyperlink ref="H14" location="'Cédula 5'!N25" display="Cédula 5"/>
    <hyperlink ref="H15" location="'Cédula 5'!N25" display="Cédula 5"/>
    <hyperlink ref="H16" location="'Cédula 5'!N25" display="Cédula 5"/>
  </hyperlinks>
  <printOptions horizontalCentered="1" gridLines="1"/>
  <pageMargins left="0.23622047244094491" right="0.23622047244094491" top="0.74803149606299213" bottom="0.74803149606299213" header="0.31496062992125984" footer="0.31496062992125984"/>
  <pageSetup paperSize="119" scale="77" firstPageNumber="0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I49"/>
  <sheetViews>
    <sheetView showGridLines="0" zoomScaleSheetLayoutView="100" workbookViewId="0">
      <selection activeCell="F1" sqref="F1"/>
    </sheetView>
  </sheetViews>
  <sheetFormatPr baseColWidth="10" defaultColWidth="11.42578125" defaultRowHeight="15"/>
  <cols>
    <col min="1" max="1" width="12.42578125" style="273" customWidth="1"/>
    <col min="2" max="2" width="46.7109375" style="273" customWidth="1"/>
    <col min="3" max="3" width="14.5703125" style="392" bestFit="1" customWidth="1"/>
    <col min="4" max="5" width="14.5703125" style="286" bestFit="1" customWidth="1"/>
    <col min="6" max="6" width="12.85546875" style="286" bestFit="1" customWidth="1"/>
    <col min="7" max="7" width="11.140625" style="392" customWidth="1"/>
    <col min="8" max="16384" width="11.42578125" style="273"/>
  </cols>
  <sheetData>
    <row r="1" spans="1:7" s="270" customFormat="1" ht="15.75">
      <c r="B1" s="555" t="s">
        <v>358</v>
      </c>
      <c r="C1" s="555"/>
      <c r="D1" s="555"/>
      <c r="E1" s="555"/>
      <c r="F1" s="382" t="s">
        <v>302</v>
      </c>
      <c r="G1" s="272"/>
    </row>
    <row r="2" spans="1:7" s="270" customFormat="1" ht="15.75">
      <c r="B2" s="555" t="s">
        <v>2</v>
      </c>
      <c r="C2" s="555"/>
      <c r="D2" s="555"/>
      <c r="E2" s="555"/>
      <c r="F2" s="327"/>
      <c r="G2" s="272"/>
    </row>
    <row r="3" spans="1:7" s="270" customFormat="1" ht="15.75">
      <c r="B3" s="555" t="s">
        <v>426</v>
      </c>
      <c r="C3" s="555"/>
      <c r="D3" s="555"/>
      <c r="E3" s="555"/>
      <c r="F3" s="327"/>
      <c r="G3" s="272"/>
    </row>
    <row r="4" spans="1:7" ht="15.75">
      <c r="C4" s="390"/>
      <c r="D4" s="390"/>
      <c r="E4" s="390"/>
      <c r="F4" s="391"/>
    </row>
    <row r="5" spans="1:7">
      <c r="A5" s="393" t="s">
        <v>223</v>
      </c>
      <c r="B5" s="273" t="s">
        <v>20</v>
      </c>
      <c r="C5" s="390"/>
      <c r="D5" s="390"/>
      <c r="E5" s="390">
        <f>+D42</f>
        <v>1093750</v>
      </c>
    </row>
    <row r="6" spans="1:7">
      <c r="A6" s="394" t="s">
        <v>273</v>
      </c>
      <c r="B6" s="273" t="s">
        <v>274</v>
      </c>
      <c r="C6" s="390"/>
      <c r="D6" s="390"/>
      <c r="E6" s="395">
        <f>D7+D10</f>
        <v>1750000</v>
      </c>
    </row>
    <row r="7" spans="1:7" ht="15.75">
      <c r="A7" s="394"/>
      <c r="B7" s="270" t="s">
        <v>271</v>
      </c>
      <c r="C7" s="390"/>
      <c r="D7" s="390">
        <f>C8+C9</f>
        <v>1225000</v>
      </c>
      <c r="E7" s="395"/>
    </row>
    <row r="8" spans="1:7">
      <c r="A8" s="394"/>
      <c r="B8" s="273" t="s">
        <v>287</v>
      </c>
      <c r="C8" s="390">
        <v>122500</v>
      </c>
      <c r="D8" s="390"/>
      <c r="E8" s="395"/>
    </row>
    <row r="9" spans="1:7">
      <c r="A9" s="394"/>
      <c r="B9" s="273" t="s">
        <v>288</v>
      </c>
      <c r="C9" s="396">
        <v>1102500</v>
      </c>
      <c r="D9" s="390"/>
      <c r="E9" s="395"/>
    </row>
    <row r="10" spans="1:7" ht="15.75">
      <c r="A10" s="394"/>
      <c r="B10" s="270" t="s">
        <v>272</v>
      </c>
      <c r="C10" s="390"/>
      <c r="D10" s="396">
        <f>C11+C12</f>
        <v>525000</v>
      </c>
      <c r="E10" s="396"/>
    </row>
    <row r="11" spans="1:7">
      <c r="A11" s="394"/>
      <c r="B11" s="273" t="s">
        <v>287</v>
      </c>
      <c r="C11" s="390">
        <v>52500</v>
      </c>
      <c r="D11" s="395"/>
      <c r="E11" s="395"/>
    </row>
    <row r="12" spans="1:7">
      <c r="A12" s="394"/>
      <c r="B12" s="273" t="s">
        <v>288</v>
      </c>
      <c r="C12" s="396">
        <v>472500</v>
      </c>
      <c r="D12" s="395"/>
      <c r="E12" s="395"/>
    </row>
    <row r="13" spans="1:7">
      <c r="A13" s="394"/>
      <c r="B13" s="273" t="s">
        <v>21</v>
      </c>
      <c r="C13" s="390"/>
      <c r="D13" s="390"/>
      <c r="E13" s="390">
        <f>E5+E6</f>
        <v>2843750</v>
      </c>
    </row>
    <row r="14" spans="1:7">
      <c r="A14" s="394" t="s">
        <v>13</v>
      </c>
      <c r="B14" s="273" t="s">
        <v>275</v>
      </c>
      <c r="C14" s="390"/>
      <c r="D14" s="390"/>
      <c r="E14" s="397">
        <f>E42</f>
        <v>787500</v>
      </c>
    </row>
    <row r="15" spans="1:7" ht="15.75">
      <c r="A15" s="394"/>
      <c r="B15" s="398" t="s">
        <v>293</v>
      </c>
      <c r="C15" s="399"/>
      <c r="D15" s="399"/>
      <c r="E15" s="399">
        <f>E13-E14</f>
        <v>2056250</v>
      </c>
    </row>
    <row r="16" spans="1:7" ht="15.75">
      <c r="A16" s="394" t="s">
        <v>13</v>
      </c>
      <c r="B16" s="273" t="s">
        <v>294</v>
      </c>
      <c r="C16" s="400"/>
      <c r="D16" s="400"/>
      <c r="E16" s="390">
        <v>306250</v>
      </c>
    </row>
    <row r="17" spans="1:8" ht="15.75">
      <c r="A17" s="394"/>
      <c r="B17" s="270" t="s">
        <v>22</v>
      </c>
      <c r="C17" s="400"/>
      <c r="D17" s="400"/>
      <c r="E17" s="400">
        <f>E15-E16</f>
        <v>1750000</v>
      </c>
    </row>
    <row r="18" spans="1:8">
      <c r="A18" s="394" t="s">
        <v>273</v>
      </c>
      <c r="B18" s="273" t="s">
        <v>276</v>
      </c>
      <c r="C18" s="390"/>
      <c r="D18" s="390"/>
      <c r="E18" s="395">
        <f>D19-D22</f>
        <v>656250</v>
      </c>
    </row>
    <row r="19" spans="1:8">
      <c r="A19" s="394"/>
      <c r="B19" s="273" t="s">
        <v>295</v>
      </c>
      <c r="C19" s="390"/>
      <c r="D19" s="390">
        <v>787500</v>
      </c>
      <c r="E19" s="395"/>
    </row>
    <row r="20" spans="1:8">
      <c r="B20" s="273" t="s">
        <v>282</v>
      </c>
      <c r="C20" s="390">
        <f>D19*0.1</f>
        <v>78750</v>
      </c>
      <c r="D20" s="390"/>
      <c r="E20" s="390"/>
      <c r="H20" s="274"/>
    </row>
    <row r="21" spans="1:8">
      <c r="B21" s="273" t="s">
        <v>283</v>
      </c>
      <c r="C21" s="396">
        <f>D19*0.9</f>
        <v>708750</v>
      </c>
      <c r="D21" s="395"/>
      <c r="E21" s="395"/>
    </row>
    <row r="22" spans="1:8">
      <c r="A22" s="394" t="s">
        <v>13</v>
      </c>
      <c r="B22" s="273" t="s">
        <v>25</v>
      </c>
      <c r="C22" s="390"/>
      <c r="D22" s="396">
        <v>131250</v>
      </c>
      <c r="E22" s="395"/>
    </row>
    <row r="23" spans="1:8" s="270" customFormat="1" ht="15.75">
      <c r="B23" s="270" t="s">
        <v>23</v>
      </c>
      <c r="C23" s="400"/>
      <c r="D23" s="400"/>
      <c r="E23" s="400">
        <f>E17+E18</f>
        <v>2406250</v>
      </c>
      <c r="F23" s="391"/>
      <c r="G23" s="272"/>
    </row>
    <row r="24" spans="1:8">
      <c r="A24" s="394" t="s">
        <v>273</v>
      </c>
      <c r="B24" s="273" t="s">
        <v>277</v>
      </c>
      <c r="C24" s="390"/>
      <c r="D24" s="390"/>
      <c r="E24" s="390">
        <f>D25+D26+D27+D28+D29</f>
        <v>758750</v>
      </c>
      <c r="F24" s="401">
        <f>+E24-D27-D28+F27+F28</f>
        <v>661420</v>
      </c>
    </row>
    <row r="25" spans="1:8">
      <c r="B25" s="273" t="s">
        <v>24</v>
      </c>
      <c r="C25" s="390"/>
      <c r="D25" s="390">
        <v>306250</v>
      </c>
      <c r="E25" s="390"/>
      <c r="F25" s="402"/>
    </row>
    <row r="26" spans="1:8">
      <c r="B26" s="273" t="s">
        <v>25</v>
      </c>
      <c r="C26" s="390"/>
      <c r="D26" s="390">
        <v>131250</v>
      </c>
      <c r="E26" s="390"/>
      <c r="F26" s="402"/>
    </row>
    <row r="27" spans="1:8">
      <c r="B27" s="273" t="s">
        <v>26</v>
      </c>
      <c r="C27" s="390"/>
      <c r="D27" s="390">
        <v>306250</v>
      </c>
      <c r="E27" s="390"/>
      <c r="F27" s="402">
        <v>206250</v>
      </c>
      <c r="G27" s="392" t="s">
        <v>345</v>
      </c>
    </row>
    <row r="28" spans="1:8">
      <c r="B28" s="273" t="s">
        <v>27</v>
      </c>
      <c r="C28" s="390"/>
      <c r="D28" s="390">
        <v>15000</v>
      </c>
      <c r="E28" s="390"/>
      <c r="F28" s="401">
        <f>+'Cédula 6'!N22</f>
        <v>17670</v>
      </c>
      <c r="G28" s="375" t="s">
        <v>48</v>
      </c>
    </row>
    <row r="29" spans="1:8">
      <c r="B29" s="273" t="s">
        <v>28</v>
      </c>
      <c r="C29" s="390"/>
      <c r="D29" s="396">
        <v>0</v>
      </c>
      <c r="E29" s="397"/>
    </row>
    <row r="30" spans="1:8" s="270" customFormat="1" ht="15.75">
      <c r="B30" s="270" t="s">
        <v>29</v>
      </c>
      <c r="C30" s="400"/>
      <c r="D30" s="400"/>
      <c r="E30" s="400">
        <f>E23+E24</f>
        <v>3165000</v>
      </c>
      <c r="F30" s="391"/>
      <c r="G30" s="272"/>
    </row>
    <row r="31" spans="1:8">
      <c r="A31" s="394" t="s">
        <v>273</v>
      </c>
      <c r="B31" s="273" t="s">
        <v>278</v>
      </c>
      <c r="C31" s="390"/>
      <c r="D31" s="390"/>
      <c r="E31" s="397">
        <f>D43</f>
        <v>743750</v>
      </c>
    </row>
    <row r="32" spans="1:8" s="270" customFormat="1" ht="15.75">
      <c r="B32" s="270" t="s">
        <v>30</v>
      </c>
      <c r="C32" s="400"/>
      <c r="D32" s="400"/>
      <c r="E32" s="400">
        <f>E30+E31</f>
        <v>3908750</v>
      </c>
      <c r="F32" s="391"/>
      <c r="G32" s="272"/>
    </row>
    <row r="33" spans="1:9">
      <c r="A33" s="394" t="s">
        <v>13</v>
      </c>
      <c r="B33" s="273" t="s">
        <v>279</v>
      </c>
      <c r="C33" s="390"/>
      <c r="D33" s="390"/>
      <c r="E33" s="397">
        <f>E43</f>
        <v>1050000</v>
      </c>
    </row>
    <row r="34" spans="1:9" s="270" customFormat="1" ht="15.75">
      <c r="B34" s="270" t="s">
        <v>31</v>
      </c>
      <c r="C34" s="400"/>
      <c r="D34" s="400"/>
      <c r="E34" s="400">
        <f>E32-E33</f>
        <v>2858750</v>
      </c>
      <c r="F34" s="391"/>
      <c r="G34" s="272"/>
    </row>
    <row r="35" spans="1:9">
      <c r="A35" s="394" t="s">
        <v>273</v>
      </c>
      <c r="B35" s="273" t="s">
        <v>280</v>
      </c>
      <c r="C35" s="390"/>
      <c r="D35" s="390"/>
      <c r="E35" s="397">
        <f>D44</f>
        <v>1312500</v>
      </c>
    </row>
    <row r="36" spans="1:9" ht="15.75">
      <c r="B36" s="273" t="s">
        <v>32</v>
      </c>
      <c r="C36" s="390"/>
      <c r="D36" s="390"/>
      <c r="E36" s="400">
        <f>E34+E35</f>
        <v>4171250</v>
      </c>
    </row>
    <row r="37" spans="1:9">
      <c r="A37" s="394" t="s">
        <v>13</v>
      </c>
      <c r="B37" s="273" t="s">
        <v>281</v>
      </c>
      <c r="C37" s="390"/>
      <c r="D37" s="390"/>
      <c r="E37" s="397">
        <f>E44</f>
        <v>1531250</v>
      </c>
    </row>
    <row r="38" spans="1:9" s="270" customFormat="1" ht="16.5" thickBot="1">
      <c r="B38" s="270" t="s">
        <v>33</v>
      </c>
      <c r="C38" s="400"/>
      <c r="D38" s="400"/>
      <c r="E38" s="403">
        <f>E36-E37</f>
        <v>2640000</v>
      </c>
      <c r="F38" s="375" t="s">
        <v>44</v>
      </c>
      <c r="G38" s="375"/>
      <c r="I38" s="270">
        <v>3077500</v>
      </c>
    </row>
    <row r="39" spans="1:9" ht="15.75" thickTop="1">
      <c r="C39" s="390"/>
      <c r="D39" s="390"/>
      <c r="E39" s="404" t="s">
        <v>156</v>
      </c>
      <c r="F39" s="401">
        <f>+E38-E24+F24</f>
        <v>2542670</v>
      </c>
      <c r="I39" s="405">
        <f>E38-I38</f>
        <v>-437500</v>
      </c>
    </row>
    <row r="40" spans="1:9">
      <c r="B40" s="273" t="s">
        <v>346</v>
      </c>
      <c r="C40" s="390"/>
      <c r="D40" s="390"/>
      <c r="E40" s="390"/>
    </row>
    <row r="41" spans="1:9" ht="15.75">
      <c r="B41" s="270" t="s">
        <v>34</v>
      </c>
      <c r="C41" s="400"/>
      <c r="D41" s="400" t="s">
        <v>35</v>
      </c>
      <c r="E41" s="400" t="s">
        <v>36</v>
      </c>
      <c r="F41" s="406"/>
    </row>
    <row r="42" spans="1:9">
      <c r="B42" s="273" t="s">
        <v>37</v>
      </c>
      <c r="C42" s="390"/>
      <c r="D42" s="390">
        <v>1093750</v>
      </c>
      <c r="E42" s="390">
        <v>787500</v>
      </c>
      <c r="F42" s="375" t="s">
        <v>228</v>
      </c>
    </row>
    <row r="43" spans="1:9">
      <c r="B43" s="273" t="s">
        <v>38</v>
      </c>
      <c r="C43" s="390"/>
      <c r="D43" s="390">
        <v>743750</v>
      </c>
      <c r="E43" s="390">
        <v>1050000</v>
      </c>
      <c r="F43" s="375" t="s">
        <v>228</v>
      </c>
    </row>
    <row r="44" spans="1:9">
      <c r="B44" s="273" t="s">
        <v>39</v>
      </c>
      <c r="C44" s="390"/>
      <c r="D44" s="396">
        <v>1312500</v>
      </c>
      <c r="E44" s="396">
        <v>1531250</v>
      </c>
      <c r="F44" s="375" t="s">
        <v>228</v>
      </c>
    </row>
    <row r="45" spans="1:9" ht="15.75">
      <c r="B45" s="273" t="s">
        <v>40</v>
      </c>
      <c r="C45" s="390"/>
      <c r="D45" s="400">
        <f>D42+D43+D44</f>
        <v>3150000</v>
      </c>
      <c r="E45" s="400">
        <f>E42+E43+E44</f>
        <v>3368750</v>
      </c>
    </row>
    <row r="47" spans="1:9" ht="15.75">
      <c r="B47" s="272"/>
      <c r="C47" s="272"/>
    </row>
    <row r="48" spans="1:9" ht="15.75">
      <c r="B48" s="272"/>
      <c r="C48" s="272"/>
    </row>
    <row r="49" spans="2:6" ht="15.75">
      <c r="B49" s="272"/>
      <c r="C49" s="272"/>
      <c r="F49" s="272"/>
    </row>
  </sheetData>
  <mergeCells count="3">
    <mergeCell ref="B1:E1"/>
    <mergeCell ref="B2:E2"/>
    <mergeCell ref="B3:E3"/>
  </mergeCells>
  <phoneticPr fontId="2" type="noConversion"/>
  <hyperlinks>
    <hyperlink ref="A5" location="INDICE!A10" display="INDICE"/>
    <hyperlink ref="F38" location="'Cédula 1'!E23" display="Cédula 1"/>
    <hyperlink ref="F42" location="'Cedula 2'!C6" display="Cédula 2"/>
    <hyperlink ref="F43" location="'Cedula 2'!C7" display="Cédula 2"/>
    <hyperlink ref="F44" location="'Cedula 2'!C8" display="Cédula 2"/>
    <hyperlink ref="E39" location="'Cédula 4'!C19" display="Cédula 4"/>
    <hyperlink ref="G28" location="'Cédula 6'!Q19" display="Cédula 6"/>
  </hyperlinks>
  <printOptions horizontalCentered="1" gridLines="1"/>
  <pageMargins left="0.25" right="0.25" top="0.75" bottom="0.75" header="0.3" footer="0.3"/>
  <pageSetup paperSize="119" scale="78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Q99"/>
  <sheetViews>
    <sheetView showGridLines="0" zoomScaleNormal="100" zoomScaleSheetLayoutView="110" zoomScalePageLayoutView="110" workbookViewId="0">
      <selection activeCell="C21" sqref="C21"/>
    </sheetView>
  </sheetViews>
  <sheetFormatPr baseColWidth="10" defaultColWidth="11.7109375" defaultRowHeight="15"/>
  <cols>
    <col min="1" max="1" width="8.85546875" style="170" customWidth="1"/>
    <col min="2" max="2" width="69.7109375" style="154" customWidth="1"/>
    <col min="3" max="3" width="14.5703125" style="411" bestFit="1" customWidth="1"/>
    <col min="4" max="4" width="11.7109375" style="412" customWidth="1"/>
    <col min="5" max="5" width="3.42578125" style="326" customWidth="1"/>
    <col min="6" max="16384" width="11.7109375" style="154"/>
  </cols>
  <sheetData>
    <row r="1" spans="1:4" ht="15.75">
      <c r="C1" s="382" t="s">
        <v>303</v>
      </c>
      <c r="D1" s="407"/>
    </row>
    <row r="2" spans="1:4" ht="15.75">
      <c r="B2" s="556" t="s">
        <v>358</v>
      </c>
      <c r="C2" s="556"/>
      <c r="D2" s="325"/>
    </row>
    <row r="3" spans="1:4" ht="15.75">
      <c r="B3" s="557" t="s">
        <v>427</v>
      </c>
      <c r="C3" s="557"/>
      <c r="D3" s="407"/>
    </row>
    <row r="4" spans="1:4" ht="16.5" thickBot="1">
      <c r="A4" s="356" t="s">
        <v>223</v>
      </c>
      <c r="B4" s="408"/>
      <c r="C4" s="267"/>
      <c r="D4" s="407"/>
    </row>
    <row r="5" spans="1:4" ht="16.5" thickBot="1">
      <c r="B5" s="409" t="s">
        <v>55</v>
      </c>
      <c r="C5" s="426">
        <f>'Cédula 1'!E44</f>
        <v>1160344.4099999999</v>
      </c>
      <c r="D5" s="410" t="s">
        <v>44</v>
      </c>
    </row>
    <row r="6" spans="1:4">
      <c r="B6" s="408" t="s">
        <v>428</v>
      </c>
      <c r="C6" s="383"/>
    </row>
    <row r="7" spans="1:4">
      <c r="B7" s="413" t="s">
        <v>429</v>
      </c>
      <c r="C7" s="383"/>
    </row>
    <row r="8" spans="1:4" ht="16.5" thickBot="1">
      <c r="A8" s="170" t="s">
        <v>63</v>
      </c>
      <c r="B8" s="414" t="s">
        <v>56</v>
      </c>
      <c r="C8" s="427">
        <f>C5</f>
        <v>1160344.4099999999</v>
      </c>
    </row>
    <row r="9" spans="1:4" ht="16.5" thickBot="1">
      <c r="A9" s="170" t="s">
        <v>57</v>
      </c>
      <c r="B9" s="409" t="s">
        <v>58</v>
      </c>
      <c r="C9" s="426">
        <f>SUM(C10:C16)</f>
        <v>737141.09516666655</v>
      </c>
    </row>
    <row r="10" spans="1:4">
      <c r="B10" s="415" t="s">
        <v>430</v>
      </c>
      <c r="C10" s="383">
        <v>0</v>
      </c>
    </row>
    <row r="11" spans="1:4">
      <c r="B11" s="408" t="s">
        <v>431</v>
      </c>
      <c r="C11" s="383"/>
    </row>
    <row r="12" spans="1:4">
      <c r="B12" s="415" t="s">
        <v>432</v>
      </c>
      <c r="C12" s="383"/>
    </row>
    <row r="13" spans="1:4" ht="30">
      <c r="B13" s="408" t="s">
        <v>433</v>
      </c>
      <c r="C13" s="383"/>
    </row>
    <row r="14" spans="1:4" ht="15.75">
      <c r="A14" s="172"/>
      <c r="B14" s="408" t="s">
        <v>434</v>
      </c>
      <c r="C14" s="383">
        <f>'Cédula 11'!E35</f>
        <v>18005.479166666675</v>
      </c>
      <c r="D14" s="410" t="s">
        <v>52</v>
      </c>
    </row>
    <row r="15" spans="1:4" ht="15.75">
      <c r="B15" s="416" t="s">
        <v>435</v>
      </c>
      <c r="C15" s="383">
        <v>0</v>
      </c>
      <c r="D15" s="410" t="s">
        <v>226</v>
      </c>
    </row>
    <row r="16" spans="1:4" ht="15.75" thickBot="1">
      <c r="B16" s="417" t="s">
        <v>436</v>
      </c>
      <c r="C16" s="383">
        <v>719135.61599999992</v>
      </c>
    </row>
    <row r="17" spans="1:17" ht="16.5" thickBot="1">
      <c r="A17" s="170" t="str">
        <f>A9</f>
        <v>MÁS</v>
      </c>
      <c r="B17" s="418" t="s">
        <v>59</v>
      </c>
      <c r="C17" s="426">
        <f>SUM(C18:C27)</f>
        <v>3820619.3333333335</v>
      </c>
    </row>
    <row r="18" spans="1:17">
      <c r="B18" s="415" t="s">
        <v>437</v>
      </c>
      <c r="C18" s="383">
        <f>'Cédula 3'!E38</f>
        <v>2640000</v>
      </c>
      <c r="D18" s="410" t="s">
        <v>45</v>
      </c>
      <c r="Q18" s="154">
        <f>+Q10+Q12+Q13+Q16</f>
        <v>0</v>
      </c>
    </row>
    <row r="19" spans="1:17">
      <c r="B19" s="419" t="s">
        <v>438</v>
      </c>
      <c r="C19" s="383">
        <f>'Cédula 6'!K20</f>
        <v>88553.833333333343</v>
      </c>
      <c r="D19" s="410" t="s">
        <v>48</v>
      </c>
    </row>
    <row r="20" spans="1:17">
      <c r="B20" s="420" t="s">
        <v>439</v>
      </c>
      <c r="C20" s="383">
        <f>+'Cédula 7'!E27</f>
        <v>29487.5</v>
      </c>
      <c r="D20" s="410" t="s">
        <v>46</v>
      </c>
      <c r="E20" s="410"/>
    </row>
    <row r="21" spans="1:17">
      <c r="B21" s="408" t="s">
        <v>440</v>
      </c>
      <c r="C21" s="383">
        <v>710991</v>
      </c>
      <c r="D21" s="410" t="s">
        <v>44</v>
      </c>
      <c r="E21" s="375"/>
      <c r="K21" s="170"/>
    </row>
    <row r="22" spans="1:17">
      <c r="B22" s="408" t="s">
        <v>441</v>
      </c>
      <c r="C22" s="383">
        <v>291730</v>
      </c>
      <c r="D22" s="410" t="s">
        <v>203</v>
      </c>
      <c r="E22" s="375"/>
    </row>
    <row r="23" spans="1:17">
      <c r="B23" s="408" t="s">
        <v>442</v>
      </c>
      <c r="C23" s="383"/>
    </row>
    <row r="24" spans="1:17">
      <c r="B24" s="408" t="s">
        <v>443</v>
      </c>
      <c r="C24" s="383"/>
    </row>
    <row r="25" spans="1:17">
      <c r="B25" s="408" t="s">
        <v>444</v>
      </c>
      <c r="C25" s="383"/>
    </row>
    <row r="26" spans="1:17">
      <c r="B26" s="408" t="s">
        <v>445</v>
      </c>
      <c r="C26" s="383"/>
    </row>
    <row r="27" spans="1:17" ht="15.75" thickBot="1">
      <c r="B27" s="417" t="s">
        <v>446</v>
      </c>
      <c r="C27" s="383">
        <v>59857</v>
      </c>
      <c r="D27" s="410" t="s">
        <v>46</v>
      </c>
    </row>
    <row r="28" spans="1:17" ht="16.5" thickBot="1">
      <c r="A28" s="170" t="s">
        <v>60</v>
      </c>
      <c r="B28" s="409" t="s">
        <v>61</v>
      </c>
      <c r="C28" s="426">
        <f>SUM(C29:C40)</f>
        <v>2938712.0020833332</v>
      </c>
    </row>
    <row r="29" spans="1:17">
      <c r="B29" s="421" t="s">
        <v>447</v>
      </c>
      <c r="C29" s="383">
        <f>'Cédula 5'!G42</f>
        <v>327389.66874999984</v>
      </c>
      <c r="D29" s="410" t="s">
        <v>227</v>
      </c>
    </row>
    <row r="30" spans="1:17" ht="30">
      <c r="B30" s="408" t="s">
        <v>448</v>
      </c>
      <c r="C30" s="383"/>
    </row>
    <row r="31" spans="1:17">
      <c r="B31" s="415" t="s">
        <v>449</v>
      </c>
      <c r="C31" s="383">
        <f>+'Cédula 3'!F39</f>
        <v>2542670</v>
      </c>
      <c r="D31" s="410" t="s">
        <v>45</v>
      </c>
    </row>
    <row r="32" spans="1:17">
      <c r="B32" s="408" t="s">
        <v>450</v>
      </c>
      <c r="C32" s="383"/>
    </row>
    <row r="33" spans="1:5">
      <c r="B33" s="408" t="s">
        <v>451</v>
      </c>
      <c r="C33" s="383"/>
    </row>
    <row r="34" spans="1:5">
      <c r="B34" s="408" t="s">
        <v>452</v>
      </c>
      <c r="C34" s="383"/>
    </row>
    <row r="35" spans="1:5">
      <c r="B35" s="419" t="s">
        <v>453</v>
      </c>
      <c r="C35" s="383">
        <f>'Cédula 6'!Q16</f>
        <v>68652.333333333343</v>
      </c>
      <c r="D35" s="410" t="s">
        <v>48</v>
      </c>
      <c r="E35" s="410"/>
    </row>
    <row r="36" spans="1:5">
      <c r="B36" s="408" t="s">
        <v>454</v>
      </c>
      <c r="C36" s="383"/>
    </row>
    <row r="37" spans="1:5">
      <c r="B37" s="408" t="s">
        <v>455</v>
      </c>
      <c r="C37" s="383"/>
    </row>
    <row r="38" spans="1:5">
      <c r="B38" s="408" t="s">
        <v>456</v>
      </c>
      <c r="C38" s="383"/>
    </row>
    <row r="39" spans="1:5">
      <c r="B39" s="408" t="s">
        <v>457</v>
      </c>
      <c r="C39" s="383"/>
    </row>
    <row r="40" spans="1:5" ht="15.75" thickBot="1">
      <c r="B40" s="417" t="s">
        <v>458</v>
      </c>
      <c r="C40" s="383"/>
      <c r="D40" s="410" t="s">
        <v>44</v>
      </c>
    </row>
    <row r="41" spans="1:5" ht="16.5" thickBot="1">
      <c r="A41" s="170" t="s">
        <v>60</v>
      </c>
      <c r="B41" s="418" t="s">
        <v>62</v>
      </c>
      <c r="C41" s="426">
        <f>SUM(C42:C48)</f>
        <v>36914.333333333343</v>
      </c>
    </row>
    <row r="42" spans="1:5">
      <c r="B42" s="408" t="s">
        <v>459</v>
      </c>
      <c r="C42" s="383"/>
    </row>
    <row r="43" spans="1:5">
      <c r="B43" s="408" t="s">
        <v>460</v>
      </c>
      <c r="C43" s="383"/>
    </row>
    <row r="44" spans="1:5">
      <c r="B44" s="408" t="s">
        <v>461</v>
      </c>
      <c r="C44" s="383"/>
    </row>
    <row r="45" spans="1:5">
      <c r="B45" s="408" t="s">
        <v>462</v>
      </c>
      <c r="C45" s="383">
        <f>'Cédula 11'!E33</f>
        <v>36914.333333333343</v>
      </c>
      <c r="D45" s="410" t="s">
        <v>52</v>
      </c>
    </row>
    <row r="46" spans="1:5">
      <c r="B46" s="408" t="s">
        <v>463</v>
      </c>
      <c r="C46" s="383"/>
    </row>
    <row r="47" spans="1:5">
      <c r="B47" s="408" t="s">
        <v>464</v>
      </c>
      <c r="C47" s="383"/>
    </row>
    <row r="48" spans="1:5">
      <c r="B48" s="417" t="s">
        <v>465</v>
      </c>
      <c r="C48" s="383"/>
      <c r="D48" s="422"/>
    </row>
    <row r="49" spans="1:7">
      <c r="B49" s="408"/>
      <c r="C49" s="428"/>
      <c r="D49" s="422"/>
    </row>
    <row r="50" spans="1:7" ht="15.75">
      <c r="A50" s="170" t="s">
        <v>63</v>
      </c>
      <c r="B50" s="414" t="s">
        <v>344</v>
      </c>
      <c r="C50" s="427">
        <f>C8+C9+C17-C28-C41</f>
        <v>2742478.5030833338</v>
      </c>
      <c r="D50" s="410"/>
      <c r="G50" s="155"/>
    </row>
    <row r="51" spans="1:7" ht="15.75">
      <c r="B51" s="414"/>
      <c r="C51" s="427"/>
      <c r="D51" s="410"/>
      <c r="G51" s="155"/>
    </row>
    <row r="52" spans="1:7" ht="15.75">
      <c r="A52" s="170" t="s">
        <v>60</v>
      </c>
      <c r="B52" s="414" t="s">
        <v>466</v>
      </c>
      <c r="C52" s="429">
        <f>'Cédula 9'!D40</f>
        <v>175000</v>
      </c>
      <c r="D52" s="410" t="s">
        <v>224</v>
      </c>
    </row>
    <row r="53" spans="1:7" ht="15.75">
      <c r="B53" s="414"/>
      <c r="C53" s="427">
        <f>+C50-C52</f>
        <v>2567478.5030833338</v>
      </c>
      <c r="D53" s="410"/>
    </row>
    <row r="54" spans="1:7" ht="15.75">
      <c r="B54" s="414"/>
      <c r="C54" s="427"/>
      <c r="D54" s="410"/>
    </row>
    <row r="55" spans="1:7" ht="16.5" thickBot="1">
      <c r="A55" s="170" t="s">
        <v>60</v>
      </c>
      <c r="B55" s="423" t="s">
        <v>467</v>
      </c>
      <c r="C55" s="430">
        <f>'Cédula 10'!F24</f>
        <v>432184.32866286999</v>
      </c>
    </row>
    <row r="56" spans="1:7">
      <c r="C56" s="383"/>
    </row>
    <row r="57" spans="1:7">
      <c r="A57" s="170" t="s">
        <v>63</v>
      </c>
      <c r="B57" s="408" t="s">
        <v>53</v>
      </c>
      <c r="C57" s="383">
        <f>+C53-C55</f>
        <v>2135294.1744204639</v>
      </c>
      <c r="D57" s="410" t="s">
        <v>47</v>
      </c>
      <c r="G57" s="155"/>
    </row>
    <row r="58" spans="1:7">
      <c r="B58" s="408"/>
      <c r="C58" s="383"/>
    </row>
    <row r="59" spans="1:7" ht="16.5" thickBot="1">
      <c r="B59" s="416" t="s">
        <v>54</v>
      </c>
      <c r="C59" s="431">
        <f>+C57*0.3</f>
        <v>640588.25232613913</v>
      </c>
      <c r="D59" s="410" t="s">
        <v>44</v>
      </c>
      <c r="E59" s="410">
        <v>8</v>
      </c>
      <c r="G59" s="155"/>
    </row>
    <row r="60" spans="1:7" ht="15.75" thickTop="1">
      <c r="B60" s="424"/>
      <c r="C60" s="383"/>
      <c r="D60" s="410" t="s">
        <v>215</v>
      </c>
      <c r="G60" s="155"/>
    </row>
    <row r="61" spans="1:7">
      <c r="B61" s="408"/>
    </row>
    <row r="62" spans="1:7">
      <c r="B62" s="408"/>
    </row>
    <row r="63" spans="1:7">
      <c r="B63" s="408"/>
    </row>
    <row r="64" spans="1:7">
      <c r="B64" s="408"/>
    </row>
    <row r="65" spans="1:5">
      <c r="B65" s="408"/>
    </row>
    <row r="66" spans="1:5">
      <c r="B66" s="408"/>
    </row>
    <row r="67" spans="1:5">
      <c r="B67" s="408"/>
    </row>
    <row r="68" spans="1:5">
      <c r="B68" s="408"/>
    </row>
    <row r="69" spans="1:5">
      <c r="B69" s="408"/>
    </row>
    <row r="70" spans="1:5">
      <c r="B70" s="408"/>
    </row>
    <row r="71" spans="1:5">
      <c r="B71" s="408"/>
    </row>
    <row r="72" spans="1:5">
      <c r="B72" s="408"/>
    </row>
    <row r="73" spans="1:5">
      <c r="B73" s="408"/>
    </row>
    <row r="74" spans="1:5">
      <c r="B74" s="413"/>
    </row>
    <row r="75" spans="1:5">
      <c r="B75" s="408"/>
    </row>
    <row r="76" spans="1:5" s="156" customFormat="1" ht="15.75">
      <c r="A76" s="172"/>
      <c r="B76" s="416"/>
      <c r="C76" s="267"/>
      <c r="D76" s="425"/>
      <c r="E76" s="325"/>
    </row>
    <row r="77" spans="1:5" s="156" customFormat="1" ht="15.75">
      <c r="A77" s="172"/>
      <c r="B77" s="416"/>
      <c r="C77" s="267"/>
      <c r="D77" s="425"/>
      <c r="E77" s="325"/>
    </row>
    <row r="78" spans="1:5">
      <c r="B78" s="408"/>
    </row>
    <row r="79" spans="1:5">
      <c r="B79" s="408"/>
    </row>
    <row r="80" spans="1:5">
      <c r="B80" s="408"/>
    </row>
    <row r="81" spans="2:2">
      <c r="B81" s="408"/>
    </row>
    <row r="82" spans="2:2">
      <c r="B82" s="408"/>
    </row>
    <row r="83" spans="2:2">
      <c r="B83" s="408"/>
    </row>
    <row r="84" spans="2:2">
      <c r="B84" s="408"/>
    </row>
    <row r="85" spans="2:2">
      <c r="B85" s="408"/>
    </row>
    <row r="86" spans="2:2">
      <c r="B86" s="408"/>
    </row>
    <row r="87" spans="2:2">
      <c r="B87" s="408"/>
    </row>
    <row r="88" spans="2:2">
      <c r="B88" s="408"/>
    </row>
    <row r="91" spans="2:2">
      <c r="B91" s="408"/>
    </row>
    <row r="92" spans="2:2">
      <c r="B92" s="408"/>
    </row>
    <row r="93" spans="2:2">
      <c r="B93" s="408"/>
    </row>
    <row r="94" spans="2:2">
      <c r="B94" s="408"/>
    </row>
    <row r="95" spans="2:2">
      <c r="B95" s="408"/>
    </row>
    <row r="96" spans="2:2">
      <c r="B96" s="408"/>
    </row>
    <row r="97" spans="2:2">
      <c r="B97" s="408"/>
    </row>
    <row r="99" spans="2:2">
      <c r="B99" s="408"/>
    </row>
  </sheetData>
  <mergeCells count="2">
    <mergeCell ref="B2:C2"/>
    <mergeCell ref="B3:C3"/>
  </mergeCells>
  <phoneticPr fontId="2" type="noConversion"/>
  <hyperlinks>
    <hyperlink ref="A4" location="INDICE!A12" display="INDICE"/>
    <hyperlink ref="D14" location="'Cédula 11'!E35" display="Cédula 11"/>
    <hyperlink ref="D18" location="'Cédula 3'!E34" display="Cédula 3"/>
    <hyperlink ref="D19" location="'Cédula 6'!K22" display="Cédula 6"/>
    <hyperlink ref="D20" location="'Cédula 7'!E27" display="Cédula 7"/>
    <hyperlink ref="D21" location="'Cédula 1'!C40" display="Cédula 1"/>
    <hyperlink ref="D29" location="'Cédula 5'!G43" display="Cédula 5"/>
    <hyperlink ref="D31" location="'Cédula 3'!E35" display="Cédula 3"/>
    <hyperlink ref="D35" location="'Cédula 6'!Q19" display="Cédula 6"/>
    <hyperlink ref="D40" location="'Cédula 1'!E20" display="Cédula 1"/>
    <hyperlink ref="D45" location="'Cédula 11'!E33" display="Cédula 11"/>
    <hyperlink ref="D22" location="'Cédula 12'!E23" display="Cédula 12"/>
    <hyperlink ref="D15" location="'Cédula 15'!A1" display="Cédula 15"/>
    <hyperlink ref="D5" location="'Cédula 1'!E44" display="Cédula 1"/>
    <hyperlink ref="D59" location="'Cédula 1'!C40" display="Cédula 1"/>
    <hyperlink ref="E59" location="'Cédula 8'!H9" display="'Cédula 8'!H9"/>
    <hyperlink ref="D60" location="'Cédula 14'!E10" display="Cédula 14"/>
    <hyperlink ref="D57" location="'Cédula 8'!H8" display="Cédula 8"/>
    <hyperlink ref="D52" location="'Cédula 9'!N19" display="Cédula 9"/>
    <hyperlink ref="D27" location="'Cédula 12'!E23" display="Cédula 12"/>
  </hyperlinks>
  <printOptions horizontalCentered="1" gridLines="1"/>
  <pageMargins left="0.23622047244094491" right="0.23622047244094491" top="0.74803149606299213" bottom="0.74803149606299213" header="0.31496062992125984" footer="0.31496062992125984"/>
  <pageSetup paperSize="119" scale="76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pageSetUpPr fitToPage="1"/>
  </sheetPr>
  <dimension ref="B1:P50"/>
  <sheetViews>
    <sheetView showGridLines="0" zoomScaleNormal="100" zoomScaleSheetLayoutView="110" workbookViewId="0">
      <selection activeCell="G25" sqref="G25"/>
    </sheetView>
  </sheetViews>
  <sheetFormatPr baseColWidth="10" defaultColWidth="11.42578125" defaultRowHeight="15"/>
  <cols>
    <col min="1" max="1" width="2.28515625" style="276" customWidth="1"/>
    <col min="2" max="2" width="48.42578125" style="276" bestFit="1" customWidth="1"/>
    <col min="3" max="15" width="15" style="277" customWidth="1"/>
    <col min="16" max="16" width="10.28515625" style="276" bestFit="1" customWidth="1"/>
    <col min="17" max="16384" width="11.42578125" style="276"/>
  </cols>
  <sheetData>
    <row r="1" spans="2:16" s="278" customFormat="1" ht="15.75">
      <c r="B1" s="558" t="s">
        <v>358</v>
      </c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</row>
    <row r="2" spans="2:16" s="278" customFormat="1" ht="15.75">
      <c r="B2" s="558" t="s">
        <v>468</v>
      </c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  <c r="N2" s="558"/>
      <c r="O2" s="558"/>
    </row>
    <row r="3" spans="2:16" ht="11.25" customHeight="1">
      <c r="O3" s="382" t="s">
        <v>304</v>
      </c>
    </row>
    <row r="4" spans="2:16" ht="15.75">
      <c r="O4" s="291"/>
    </row>
    <row r="5" spans="2:16" ht="15.75">
      <c r="B5" s="356" t="s">
        <v>223</v>
      </c>
      <c r="O5" s="291"/>
    </row>
    <row r="6" spans="2:16" ht="15.75">
      <c r="B6" s="278"/>
      <c r="O6" s="291"/>
    </row>
    <row r="7" spans="2:16" ht="15.75">
      <c r="B7" s="278" t="s">
        <v>64</v>
      </c>
      <c r="O7" s="291"/>
    </row>
    <row r="8" spans="2:16" ht="16.5" customHeight="1">
      <c r="C8" s="276"/>
      <c r="D8" s="276"/>
      <c r="E8" s="276"/>
      <c r="F8" s="276"/>
      <c r="G8" s="276"/>
      <c r="H8" s="276"/>
      <c r="I8" s="276"/>
      <c r="J8" s="276"/>
      <c r="K8" s="276"/>
      <c r="L8" s="276"/>
      <c r="M8" s="276"/>
      <c r="N8" s="276"/>
      <c r="O8" s="276"/>
    </row>
    <row r="9" spans="2:16" ht="16.5" customHeight="1">
      <c r="B9" s="433"/>
      <c r="C9" s="434" t="s">
        <v>65</v>
      </c>
      <c r="D9" s="434" t="s">
        <v>66</v>
      </c>
      <c r="E9" s="434" t="s">
        <v>67</v>
      </c>
      <c r="F9" s="434" t="s">
        <v>68</v>
      </c>
      <c r="G9" s="434" t="s">
        <v>69</v>
      </c>
      <c r="H9" s="434" t="s">
        <v>70</v>
      </c>
      <c r="I9" s="434" t="s">
        <v>71</v>
      </c>
      <c r="J9" s="434" t="s">
        <v>72</v>
      </c>
      <c r="K9" s="434" t="s">
        <v>73</v>
      </c>
      <c r="L9" s="434" t="s">
        <v>74</v>
      </c>
      <c r="M9" s="434" t="s">
        <v>75</v>
      </c>
      <c r="N9" s="434" t="s">
        <v>76</v>
      </c>
      <c r="O9" s="434" t="s">
        <v>77</v>
      </c>
    </row>
    <row r="10" spans="2:16" ht="16.5" customHeight="1">
      <c r="B10" s="435"/>
      <c r="C10" s="433"/>
      <c r="D10" s="433"/>
      <c r="E10" s="433"/>
      <c r="F10" s="433"/>
      <c r="G10" s="433"/>
      <c r="H10" s="433"/>
      <c r="I10" s="433"/>
      <c r="J10" s="433"/>
      <c r="K10" s="433"/>
      <c r="L10" s="433"/>
      <c r="M10" s="433"/>
      <c r="N10" s="433"/>
      <c r="O10" s="434" t="s">
        <v>78</v>
      </c>
    </row>
    <row r="11" spans="2:16" ht="16.5" customHeight="1">
      <c r="B11" s="436" t="s">
        <v>79</v>
      </c>
      <c r="C11" s="433"/>
      <c r="D11" s="433"/>
      <c r="E11" s="433"/>
      <c r="F11" s="433"/>
      <c r="G11" s="433"/>
      <c r="H11" s="433"/>
      <c r="I11" s="433"/>
      <c r="J11" s="433"/>
      <c r="K11" s="433"/>
      <c r="L11" s="433"/>
      <c r="M11" s="433"/>
      <c r="N11" s="433"/>
      <c r="O11" s="434"/>
      <c r="P11" s="437"/>
    </row>
    <row r="12" spans="2:16" ht="16.5" customHeight="1">
      <c r="B12" s="438" t="s">
        <v>80</v>
      </c>
      <c r="C12" s="492">
        <v>325000</v>
      </c>
      <c r="D12" s="492">
        <v>265000</v>
      </c>
      <c r="E12" s="492">
        <v>165000</v>
      </c>
      <c r="F12" s="492">
        <v>198000</v>
      </c>
      <c r="G12" s="492">
        <v>268000</v>
      </c>
      <c r="H12" s="492">
        <v>358000</v>
      </c>
      <c r="I12" s="492">
        <v>386000</v>
      </c>
      <c r="J12" s="492">
        <v>296000</v>
      </c>
      <c r="K12" s="492">
        <v>162000</v>
      </c>
      <c r="L12" s="492">
        <v>125000</v>
      </c>
      <c r="M12" s="492">
        <v>96000</v>
      </c>
      <c r="N12" s="492">
        <v>7000</v>
      </c>
      <c r="O12" s="439">
        <f>SUM(C12:N12)/12</f>
        <v>220916.66666666666</v>
      </c>
      <c r="P12" s="440" t="s">
        <v>228</v>
      </c>
    </row>
    <row r="13" spans="2:16" ht="16.5" customHeight="1">
      <c r="B13" s="441" t="s">
        <v>387</v>
      </c>
      <c r="C13" s="493">
        <v>3000000</v>
      </c>
      <c r="D13" s="494">
        <v>-3500000</v>
      </c>
      <c r="E13" s="493">
        <v>3200000</v>
      </c>
      <c r="F13" s="493">
        <v>4500000</v>
      </c>
      <c r="G13" s="493">
        <v>4050000</v>
      </c>
      <c r="H13" s="493">
        <v>3890000</v>
      </c>
      <c r="I13" s="493">
        <v>3210000</v>
      </c>
      <c r="J13" s="493">
        <v>2750000</v>
      </c>
      <c r="K13" s="493">
        <v>2532000</v>
      </c>
      <c r="L13" s="493">
        <v>1590000</v>
      </c>
      <c r="M13" s="493">
        <v>1000000</v>
      </c>
      <c r="N13" s="493">
        <v>200000</v>
      </c>
      <c r="O13" s="442">
        <f>SUM(C13:N13)/12</f>
        <v>2201833.3333333335</v>
      </c>
      <c r="P13" s="443" t="s">
        <v>228</v>
      </c>
    </row>
    <row r="14" spans="2:16" ht="16.5" customHeight="1">
      <c r="B14" s="438" t="s">
        <v>289</v>
      </c>
      <c r="C14" s="492">
        <v>2610000</v>
      </c>
      <c r="D14" s="492">
        <v>3375000</v>
      </c>
      <c r="E14" s="492">
        <v>4940000</v>
      </c>
      <c r="F14" s="492">
        <v>5420000</v>
      </c>
      <c r="G14" s="492">
        <v>5085000</v>
      </c>
      <c r="H14" s="492">
        <v>5185000</v>
      </c>
      <c r="I14" s="492">
        <v>4948000</v>
      </c>
      <c r="J14" s="492">
        <v>3906000</v>
      </c>
      <c r="K14" s="492">
        <v>2944000</v>
      </c>
      <c r="L14" s="492">
        <v>1681000</v>
      </c>
      <c r="M14" s="492">
        <v>1114000</v>
      </c>
      <c r="N14" s="492">
        <v>340000</v>
      </c>
      <c r="O14" s="439">
        <f>SUM(C14:N14)/12</f>
        <v>3462333.3333333335</v>
      </c>
      <c r="P14" s="440" t="s">
        <v>228</v>
      </c>
    </row>
    <row r="15" spans="2:16" ht="16.5" customHeight="1">
      <c r="B15" s="438" t="s">
        <v>81</v>
      </c>
      <c r="C15" s="492">
        <v>0</v>
      </c>
      <c r="D15" s="492">
        <v>0</v>
      </c>
      <c r="E15" s="492">
        <v>0</v>
      </c>
      <c r="F15" s="492">
        <v>0</v>
      </c>
      <c r="G15" s="492">
        <v>10000</v>
      </c>
      <c r="H15" s="492">
        <v>1900</v>
      </c>
      <c r="I15" s="492">
        <f>2716+1900</f>
        <v>4616</v>
      </c>
      <c r="J15" s="492">
        <v>0</v>
      </c>
      <c r="K15" s="492">
        <v>0</v>
      </c>
      <c r="L15" s="492">
        <v>0</v>
      </c>
      <c r="M15" s="492">
        <v>0</v>
      </c>
      <c r="N15" s="492">
        <v>0</v>
      </c>
      <c r="O15" s="439">
        <f>SUM(C15:N15)/12</f>
        <v>1376.3333333333333</v>
      </c>
      <c r="P15" s="437"/>
    </row>
    <row r="16" spans="2:16" ht="16.5" customHeight="1">
      <c r="B16" s="438"/>
      <c r="C16" s="433"/>
      <c r="D16" s="433"/>
      <c r="E16" s="433"/>
      <c r="F16" s="433"/>
      <c r="G16" s="433"/>
      <c r="H16" s="433"/>
      <c r="I16" s="433"/>
      <c r="J16" s="433"/>
      <c r="K16" s="433"/>
      <c r="L16" s="433"/>
      <c r="M16" s="433"/>
      <c r="N16" s="433"/>
      <c r="O16" s="433"/>
      <c r="P16" s="437"/>
    </row>
    <row r="17" spans="2:16" ht="16.5" customHeight="1">
      <c r="B17" s="435" t="s">
        <v>82</v>
      </c>
      <c r="C17" s="444"/>
      <c r="D17" s="444"/>
      <c r="E17" s="444"/>
      <c r="F17" s="444"/>
      <c r="G17" s="444"/>
      <c r="H17" s="444"/>
      <c r="I17" s="444"/>
      <c r="J17" s="444"/>
      <c r="K17" s="444"/>
      <c r="L17" s="444"/>
      <c r="M17" s="444"/>
      <c r="N17" s="444"/>
      <c r="O17" s="444">
        <f>SUM(O12:O16)</f>
        <v>5886459.666666667</v>
      </c>
      <c r="P17" s="437"/>
    </row>
    <row r="18" spans="2:16" ht="16.5" customHeight="1">
      <c r="B18" s="437"/>
      <c r="C18" s="445"/>
      <c r="D18" s="445"/>
      <c r="E18" s="445"/>
      <c r="F18" s="445"/>
      <c r="G18" s="445"/>
      <c r="H18" s="445"/>
      <c r="I18" s="445"/>
      <c r="J18" s="445"/>
      <c r="K18" s="445"/>
      <c r="L18" s="445"/>
      <c r="M18" s="445"/>
      <c r="N18" s="445"/>
      <c r="O18" s="445"/>
      <c r="P18" s="437"/>
    </row>
    <row r="19" spans="2:16" ht="7.5" customHeight="1">
      <c r="C19" s="276"/>
      <c r="D19" s="276"/>
      <c r="E19" s="276"/>
      <c r="F19" s="276"/>
      <c r="G19" s="276"/>
      <c r="H19" s="276"/>
      <c r="I19" s="276"/>
      <c r="J19" s="276"/>
      <c r="K19" s="276"/>
      <c r="L19" s="276"/>
      <c r="M19" s="276"/>
      <c r="N19" s="276"/>
      <c r="O19" s="276"/>
      <c r="P19" s="437"/>
    </row>
    <row r="20" spans="2:16" ht="16.5" customHeight="1">
      <c r="B20" s="446"/>
      <c r="C20" s="445"/>
      <c r="D20" s="445"/>
      <c r="E20" s="445"/>
      <c r="F20" s="445"/>
      <c r="G20" s="445"/>
      <c r="H20" s="445"/>
      <c r="I20" s="445"/>
      <c r="J20" s="445"/>
      <c r="K20" s="445"/>
      <c r="L20" s="445"/>
      <c r="M20" s="445"/>
      <c r="N20" s="445"/>
      <c r="O20" s="445"/>
      <c r="P20" s="437"/>
    </row>
    <row r="21" spans="2:16" ht="16.5" customHeight="1">
      <c r="B21" s="436" t="s">
        <v>83</v>
      </c>
      <c r="C21" s="543" t="s">
        <v>65</v>
      </c>
      <c r="D21" s="543" t="s">
        <v>66</v>
      </c>
      <c r="E21" s="543" t="s">
        <v>67</v>
      </c>
      <c r="F21" s="543" t="s">
        <v>68</v>
      </c>
      <c r="G21" s="543" t="s">
        <v>69</v>
      </c>
      <c r="H21" s="543" t="s">
        <v>70</v>
      </c>
      <c r="I21" s="543" t="s">
        <v>71</v>
      </c>
      <c r="J21" s="543" t="s">
        <v>72</v>
      </c>
      <c r="K21" s="543" t="s">
        <v>73</v>
      </c>
      <c r="L21" s="543" t="s">
        <v>74</v>
      </c>
      <c r="M21" s="543" t="s">
        <v>75</v>
      </c>
      <c r="N21" s="543" t="s">
        <v>76</v>
      </c>
      <c r="O21" s="434" t="s">
        <v>77</v>
      </c>
      <c r="P21" s="437"/>
    </row>
    <row r="22" spans="2:16" ht="16.5" customHeight="1">
      <c r="B22" s="539" t="s">
        <v>84</v>
      </c>
      <c r="C22" s="544">
        <v>1250000</v>
      </c>
      <c r="D22" s="544">
        <v>1212000</v>
      </c>
      <c r="E22" s="544">
        <v>1325000</v>
      </c>
      <c r="F22" s="544">
        <v>1452000</v>
      </c>
      <c r="G22" s="544">
        <v>1525000</v>
      </c>
      <c r="H22" s="544">
        <v>1432000</v>
      </c>
      <c r="I22" s="544">
        <v>1125000</v>
      </c>
      <c r="J22" s="544">
        <v>973145</v>
      </c>
      <c r="K22" s="544">
        <v>586000</v>
      </c>
      <c r="L22" s="544">
        <v>459000</v>
      </c>
      <c r="M22" s="544">
        <v>438000</v>
      </c>
      <c r="N22" s="544">
        <v>120000</v>
      </c>
      <c r="O22" s="542">
        <f t="shared" ref="O22:O28" si="0">SUM(C22:N22)/12</f>
        <v>991428.75</v>
      </c>
      <c r="P22" s="440" t="s">
        <v>228</v>
      </c>
    </row>
    <row r="23" spans="2:16" ht="16.5" customHeight="1">
      <c r="B23" s="539" t="s">
        <v>85</v>
      </c>
      <c r="C23" s="544">
        <v>325000</v>
      </c>
      <c r="D23" s="544">
        <v>310000</v>
      </c>
      <c r="E23" s="544">
        <v>259000</v>
      </c>
      <c r="F23" s="544">
        <v>232000</v>
      </c>
      <c r="G23" s="544">
        <v>212000</v>
      </c>
      <c r="H23" s="544">
        <v>196000</v>
      </c>
      <c r="I23" s="544">
        <v>153000</v>
      </c>
      <c r="J23" s="544">
        <v>120500</v>
      </c>
      <c r="K23" s="544">
        <v>56200</v>
      </c>
      <c r="L23" s="544">
        <v>12000</v>
      </c>
      <c r="M23" s="544">
        <v>15000</v>
      </c>
      <c r="N23" s="544">
        <f>45000+291730</f>
        <v>336730</v>
      </c>
      <c r="O23" s="542">
        <f t="shared" si="0"/>
        <v>185619.16666666666</v>
      </c>
      <c r="P23" s="440" t="s">
        <v>228</v>
      </c>
    </row>
    <row r="24" spans="2:16" ht="16.5" customHeight="1">
      <c r="B24" s="539" t="s">
        <v>347</v>
      </c>
      <c r="C24" s="544">
        <v>2346089</v>
      </c>
      <c r="D24" s="544">
        <v>2346089</v>
      </c>
      <c r="E24" s="544">
        <v>2346089</v>
      </c>
      <c r="F24" s="544">
        <v>2346089</v>
      </c>
      <c r="G24" s="544">
        <v>2346089</v>
      </c>
      <c r="H24" s="544">
        <v>2346089</v>
      </c>
      <c r="I24" s="544">
        <v>2346089</v>
      </c>
      <c r="J24" s="544">
        <v>2346089</v>
      </c>
      <c r="K24" s="544">
        <v>2346089</v>
      </c>
      <c r="L24" s="544">
        <v>2346089</v>
      </c>
      <c r="M24" s="544">
        <v>4692178</v>
      </c>
      <c r="N24" s="544">
        <v>0</v>
      </c>
      <c r="O24" s="542">
        <f t="shared" si="0"/>
        <v>2346089</v>
      </c>
      <c r="P24" s="437"/>
    </row>
    <row r="25" spans="2:16" ht="16.5" customHeight="1">
      <c r="B25" s="539" t="s">
        <v>86</v>
      </c>
      <c r="C25" s="544">
        <v>6861</v>
      </c>
      <c r="D25" s="544">
        <v>6116</v>
      </c>
      <c r="E25" s="544">
        <v>21791</v>
      </c>
      <c r="F25" s="544">
        <v>0</v>
      </c>
      <c r="G25" s="544">
        <v>8100</v>
      </c>
      <c r="H25" s="544">
        <v>0</v>
      </c>
      <c r="I25" s="544">
        <v>19951</v>
      </c>
      <c r="J25" s="544">
        <f>9995+10000</f>
        <v>19995</v>
      </c>
      <c r="K25" s="544">
        <f>6891+3000</f>
        <v>9891</v>
      </c>
      <c r="L25" s="544">
        <f>7484+3000</f>
        <v>10484</v>
      </c>
      <c r="M25" s="544">
        <f>3374.5+3951</f>
        <v>7325.5</v>
      </c>
      <c r="N25" s="544">
        <v>34356</v>
      </c>
      <c r="O25" s="542">
        <f t="shared" si="0"/>
        <v>12072.541666666666</v>
      </c>
      <c r="P25" s="440" t="s">
        <v>228</v>
      </c>
    </row>
    <row r="26" spans="2:16" ht="15.75">
      <c r="B26" s="540" t="s">
        <v>388</v>
      </c>
      <c r="C26" s="544"/>
      <c r="D26" s="544"/>
      <c r="E26" s="544"/>
      <c r="F26" s="544"/>
      <c r="G26" s="544"/>
      <c r="H26" s="544"/>
      <c r="I26" s="544"/>
      <c r="J26" s="544"/>
      <c r="K26" s="544"/>
      <c r="L26" s="544"/>
      <c r="M26" s="544"/>
      <c r="N26" s="544"/>
      <c r="O26" s="542"/>
      <c r="P26" s="440"/>
    </row>
    <row r="27" spans="2:16" ht="16.5" customHeight="1">
      <c r="B27" s="539" t="s">
        <v>87</v>
      </c>
      <c r="C27" s="544">
        <v>78000</v>
      </c>
      <c r="D27" s="544">
        <v>123000</v>
      </c>
      <c r="E27" s="544">
        <v>72000</v>
      </c>
      <c r="F27" s="544">
        <v>118000</v>
      </c>
      <c r="G27" s="544">
        <v>83000</v>
      </c>
      <c r="H27" s="544">
        <v>132000</v>
      </c>
      <c r="I27" s="544">
        <v>81000</v>
      </c>
      <c r="J27" s="544">
        <v>129000</v>
      </c>
      <c r="K27" s="544">
        <v>70000</v>
      </c>
      <c r="L27" s="544">
        <v>110000</v>
      </c>
      <c r="M27" s="544">
        <v>75000</v>
      </c>
      <c r="N27" s="544">
        <v>165000</v>
      </c>
      <c r="O27" s="542">
        <f t="shared" si="0"/>
        <v>103000</v>
      </c>
      <c r="P27" s="440" t="s">
        <v>228</v>
      </c>
    </row>
    <row r="28" spans="2:16" ht="16.5" customHeight="1">
      <c r="B28" s="539" t="s">
        <v>337</v>
      </c>
      <c r="C28" s="544">
        <v>0</v>
      </c>
      <c r="D28" s="544">
        <v>0</v>
      </c>
      <c r="E28" s="544">
        <v>0</v>
      </c>
      <c r="F28" s="544">
        <v>0</v>
      </c>
      <c r="G28" s="544">
        <v>0</v>
      </c>
      <c r="H28" s="544">
        <v>0</v>
      </c>
      <c r="I28" s="544">
        <v>0</v>
      </c>
      <c r="J28" s="544">
        <v>0</v>
      </c>
      <c r="K28" s="544">
        <v>0</v>
      </c>
      <c r="L28" s="544">
        <v>0</v>
      </c>
      <c r="M28" s="544">
        <v>0</v>
      </c>
      <c r="N28" s="544">
        <v>787829</v>
      </c>
      <c r="O28" s="542">
        <f t="shared" si="0"/>
        <v>65652.416666666672</v>
      </c>
      <c r="P28" s="440" t="s">
        <v>228</v>
      </c>
    </row>
    <row r="29" spans="2:16" ht="16.5" customHeight="1">
      <c r="B29" s="541" t="s">
        <v>82</v>
      </c>
      <c r="C29" s="545"/>
      <c r="D29" s="545"/>
      <c r="E29" s="545"/>
      <c r="F29" s="545"/>
      <c r="G29" s="545"/>
      <c r="H29" s="545"/>
      <c r="I29" s="545"/>
      <c r="J29" s="545"/>
      <c r="K29" s="545"/>
      <c r="L29" s="545"/>
      <c r="M29" s="545"/>
      <c r="N29" s="545"/>
      <c r="O29" s="542">
        <f>SUM(O22:O28)</f>
        <v>3703861.875</v>
      </c>
      <c r="P29" s="437"/>
    </row>
    <row r="30" spans="2:16">
      <c r="P30" s="437"/>
    </row>
    <row r="31" spans="2:16">
      <c r="C31" s="447"/>
      <c r="D31" s="447"/>
      <c r="E31" s="447"/>
      <c r="F31" s="447"/>
      <c r="G31" s="447"/>
      <c r="H31" s="447"/>
      <c r="I31" s="447"/>
      <c r="J31" s="447"/>
      <c r="K31" s="447"/>
      <c r="L31" s="447"/>
      <c r="M31" s="447"/>
      <c r="N31" s="447"/>
      <c r="P31" s="437"/>
    </row>
    <row r="32" spans="2:16">
      <c r="B32" s="448" t="s">
        <v>89</v>
      </c>
      <c r="C32" s="449"/>
      <c r="D32" s="449"/>
      <c r="E32" s="450"/>
      <c r="F32" s="451"/>
      <c r="G32" s="452">
        <f>O29</f>
        <v>3703861.875</v>
      </c>
      <c r="H32" s="447"/>
      <c r="I32" s="453"/>
      <c r="J32" s="450"/>
      <c r="K32" s="450"/>
      <c r="L32" s="450"/>
      <c r="M32" s="451"/>
      <c r="N32" s="447"/>
      <c r="P32" s="437"/>
    </row>
    <row r="33" spans="2:16">
      <c r="B33" s="454"/>
      <c r="C33" s="455"/>
      <c r="D33" s="455"/>
      <c r="E33" s="437"/>
      <c r="F33" s="456"/>
      <c r="G33" s="457"/>
      <c r="H33" s="458"/>
      <c r="I33" s="459"/>
      <c r="J33" s="437"/>
      <c r="K33" s="437"/>
      <c r="L33" s="437"/>
      <c r="M33" s="456"/>
      <c r="N33" s="458"/>
      <c r="P33" s="437"/>
    </row>
    <row r="34" spans="2:16" ht="12.75" customHeight="1">
      <c r="B34" s="460" t="s">
        <v>88</v>
      </c>
      <c r="C34" s="445"/>
      <c r="D34" s="445"/>
      <c r="E34" s="437"/>
      <c r="F34" s="456"/>
      <c r="G34" s="457">
        <f>+O17</f>
        <v>5886459.666666667</v>
      </c>
      <c r="H34" s="459"/>
      <c r="I34" s="561" t="s">
        <v>469</v>
      </c>
      <c r="J34" s="562"/>
      <c r="K34" s="560" t="s">
        <v>229</v>
      </c>
      <c r="L34" s="461"/>
      <c r="M34" s="462">
        <v>1.1499999999999999</v>
      </c>
      <c r="P34" s="437"/>
    </row>
    <row r="35" spans="2:16">
      <c r="B35" s="463"/>
      <c r="C35" s="464"/>
      <c r="D35" s="464"/>
      <c r="E35" s="465"/>
      <c r="F35" s="466"/>
      <c r="G35" s="467"/>
      <c r="I35" s="563" t="s">
        <v>470</v>
      </c>
      <c r="J35" s="564"/>
      <c r="K35" s="560"/>
      <c r="L35" s="461"/>
      <c r="M35" s="468">
        <v>1</v>
      </c>
    </row>
    <row r="36" spans="2:16">
      <c r="B36" s="469" t="s">
        <v>90</v>
      </c>
      <c r="C36" s="470"/>
      <c r="D36" s="470"/>
      <c r="E36" s="450"/>
      <c r="F36" s="451"/>
      <c r="G36" s="471">
        <f>+G34-G32</f>
        <v>2182597.791666667</v>
      </c>
      <c r="I36" s="472"/>
      <c r="J36" s="461"/>
      <c r="K36" s="461"/>
      <c r="L36" s="461"/>
      <c r="M36" s="473"/>
    </row>
    <row r="37" spans="2:16" s="278" customFormat="1" ht="15.75">
      <c r="B37" s="474"/>
      <c r="C37" s="475"/>
      <c r="D37" s="475"/>
      <c r="E37" s="437"/>
      <c r="F37" s="456"/>
      <c r="G37" s="476"/>
      <c r="H37" s="279"/>
      <c r="I37" s="477"/>
      <c r="J37" s="461" t="s">
        <v>91</v>
      </c>
      <c r="K37" s="461"/>
      <c r="L37" s="461"/>
      <c r="M37" s="468">
        <f>(TRUNC(M34/M35,4))-1</f>
        <v>0.14999999999999991</v>
      </c>
      <c r="N37" s="279"/>
      <c r="O37" s="279"/>
      <c r="P37" s="279"/>
    </row>
    <row r="38" spans="2:16">
      <c r="B38" s="460" t="s">
        <v>92</v>
      </c>
      <c r="C38" s="437"/>
      <c r="D38" s="437"/>
      <c r="E38" s="437"/>
      <c r="F38" s="456"/>
      <c r="G38" s="468">
        <f>M37</f>
        <v>0.14999999999999991</v>
      </c>
      <c r="I38" s="459"/>
      <c r="J38" s="445"/>
      <c r="K38" s="445"/>
      <c r="L38" s="445"/>
      <c r="M38" s="478"/>
    </row>
    <row r="39" spans="2:16">
      <c r="B39" s="454"/>
      <c r="C39" s="437"/>
      <c r="D39" s="437"/>
      <c r="E39" s="437"/>
      <c r="F39" s="456"/>
      <c r="G39" s="479"/>
      <c r="I39" s="480"/>
      <c r="J39" s="464"/>
      <c r="K39" s="464"/>
      <c r="L39" s="464"/>
      <c r="M39" s="481"/>
    </row>
    <row r="40" spans="2:16" ht="15.75">
      <c r="B40" s="482"/>
      <c r="C40" s="475"/>
      <c r="D40" s="475"/>
      <c r="E40" s="437"/>
      <c r="F40" s="456"/>
      <c r="G40" s="483"/>
    </row>
    <row r="41" spans="2:16" ht="15.75">
      <c r="B41" s="474" t="s">
        <v>202</v>
      </c>
      <c r="C41" s="475"/>
      <c r="D41" s="475"/>
      <c r="E41" s="437"/>
      <c r="F41" s="456"/>
      <c r="G41" s="483">
        <v>0</v>
      </c>
      <c r="H41" s="484" t="s">
        <v>156</v>
      </c>
      <c r="I41" s="485">
        <v>12</v>
      </c>
      <c r="J41" s="485">
        <v>13</v>
      </c>
      <c r="K41" s="445"/>
    </row>
    <row r="42" spans="2:16" ht="15.75">
      <c r="B42" s="486" t="s">
        <v>205</v>
      </c>
      <c r="C42" s="487"/>
      <c r="D42" s="487"/>
      <c r="E42" s="465"/>
      <c r="F42" s="466"/>
      <c r="G42" s="488">
        <f>+G36*G38</f>
        <v>327389.66874999984</v>
      </c>
      <c r="H42" s="484" t="s">
        <v>156</v>
      </c>
      <c r="I42" s="485">
        <v>12</v>
      </c>
      <c r="J42" s="559"/>
      <c r="K42" s="559"/>
    </row>
    <row r="43" spans="2:16">
      <c r="D43" s="276"/>
      <c r="E43" s="276"/>
      <c r="F43" s="276"/>
      <c r="G43" s="276"/>
    </row>
    <row r="44" spans="2:16">
      <c r="D44" s="276"/>
      <c r="E44" s="276"/>
      <c r="F44" s="276"/>
      <c r="G44" s="276"/>
    </row>
    <row r="45" spans="2:16">
      <c r="B45" s="489"/>
      <c r="C45" s="490"/>
      <c r="D45" s="491"/>
      <c r="E45" s="491"/>
      <c r="F45" s="491"/>
      <c r="G45" s="491"/>
      <c r="H45" s="490"/>
      <c r="I45" s="490"/>
      <c r="J45" s="490"/>
      <c r="K45" s="490"/>
    </row>
    <row r="46" spans="2:16">
      <c r="B46" s="491"/>
      <c r="C46" s="490"/>
      <c r="D46" s="490"/>
      <c r="E46" s="490"/>
      <c r="F46" s="490"/>
      <c r="G46" s="490"/>
      <c r="H46" s="490"/>
      <c r="I46" s="490"/>
      <c r="J46" s="490"/>
      <c r="K46" s="490"/>
    </row>
    <row r="47" spans="2:16">
      <c r="B47" s="491"/>
      <c r="C47" s="490"/>
      <c r="D47" s="490"/>
      <c r="E47" s="490"/>
      <c r="F47" s="490"/>
      <c r="G47" s="490"/>
      <c r="H47" s="490"/>
      <c r="I47" s="490"/>
      <c r="J47" s="490"/>
      <c r="K47" s="490"/>
    </row>
    <row r="48" spans="2:16">
      <c r="B48" s="491"/>
      <c r="C48" s="490"/>
      <c r="D48" s="490"/>
      <c r="E48" s="490"/>
      <c r="F48" s="490"/>
      <c r="G48" s="490"/>
      <c r="H48" s="490"/>
      <c r="I48" s="490"/>
      <c r="J48" s="490"/>
      <c r="K48" s="490"/>
    </row>
    <row r="49" spans="2:11">
      <c r="B49" s="491"/>
      <c r="C49" s="490"/>
      <c r="D49" s="490"/>
      <c r="E49" s="490"/>
      <c r="F49" s="490"/>
      <c r="G49" s="490"/>
      <c r="H49" s="490"/>
      <c r="I49" s="490"/>
      <c r="J49" s="490"/>
      <c r="K49" s="490"/>
    </row>
    <row r="50" spans="2:11">
      <c r="B50" s="491"/>
      <c r="C50" s="490"/>
      <c r="D50" s="490"/>
      <c r="E50" s="490"/>
      <c r="F50" s="490"/>
      <c r="G50" s="490"/>
      <c r="H50" s="490"/>
      <c r="I50" s="490"/>
      <c r="J50" s="490"/>
      <c r="K50" s="490"/>
    </row>
  </sheetData>
  <mergeCells count="6">
    <mergeCell ref="B1:O1"/>
    <mergeCell ref="B2:O2"/>
    <mergeCell ref="J42:K42"/>
    <mergeCell ref="K34:K35"/>
    <mergeCell ref="I34:J34"/>
    <mergeCell ref="I35:J35"/>
  </mergeCells>
  <phoneticPr fontId="2" type="noConversion"/>
  <hyperlinks>
    <hyperlink ref="B5" location="INDICE!A13" display="INDICE"/>
    <hyperlink ref="H42" location="'Cédula 4'!C30" display="Cédula 4"/>
    <hyperlink ref="I42" location="'Cédula 12'!D14" display="'Cédula 12'!D14"/>
    <hyperlink ref="J41" location="'Cédula 13'!D8" display="'Cédula 13'!D8"/>
    <hyperlink ref="H41" location="'Cédula 4'!C11" display="Cédula 4"/>
    <hyperlink ref="I41" location="'Cédula 12'!D7" display="'Cédula 12'!D7"/>
    <hyperlink ref="P12" location="'Cedula 2'!C5" display="Cédula 2"/>
    <hyperlink ref="P13" location="'Cedula 2'!C11" display="Cédula 2"/>
    <hyperlink ref="P14" location="'Cedula 2'!C10" display="Cédula 2"/>
    <hyperlink ref="P22" location="'Cedula 2'!G5" display="Cédula 2"/>
    <hyperlink ref="P25:P27" location="'Cedula 2'!G5" display="Cédula 2"/>
    <hyperlink ref="P25" location="'Cedula 2'!G6" display="Cédula 2"/>
    <hyperlink ref="P27" location="'Cedula 2'!G6" display="Cédula 2"/>
    <hyperlink ref="P23" location="'Cedula 2'!G8" display="Cédula 2"/>
    <hyperlink ref="P28" location="'Cedula 2'!G6" display="Cédula 2"/>
  </hyperlinks>
  <printOptions horizontalCentered="1" gridLines="1"/>
  <pageMargins left="0.23622047244094491" right="0.23622047244094491" top="0.74803149606299213" bottom="0.74803149606299213" header="0.31496062992125984" footer="0.31496062992125984"/>
  <pageSetup paperSize="119" scale="56" firstPageNumber="0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9">
    <pageSetUpPr fitToPage="1"/>
  </sheetPr>
  <dimension ref="A1:S30"/>
  <sheetViews>
    <sheetView showGridLines="0" tabSelected="1" topLeftCell="A13" zoomScale="110" zoomScaleNormal="110" zoomScaleSheetLayoutView="110" zoomScalePageLayoutView="110" workbookViewId="0">
      <selection activeCell="L20" sqref="L20:Q22"/>
    </sheetView>
  </sheetViews>
  <sheetFormatPr baseColWidth="10" defaultColWidth="11.42578125" defaultRowHeight="11.25"/>
  <cols>
    <col min="1" max="1" width="7" style="176" bestFit="1" customWidth="1"/>
    <col min="2" max="2" width="11.85546875" style="176" customWidth="1"/>
    <col min="3" max="3" width="9.140625" style="176" customWidth="1"/>
    <col min="4" max="4" width="7" style="176" customWidth="1"/>
    <col min="5" max="5" width="9.85546875" style="177" customWidth="1"/>
    <col min="6" max="6" width="10.42578125" style="176" customWidth="1"/>
    <col min="7" max="7" width="7.140625" style="177" customWidth="1"/>
    <col min="8" max="8" width="9" style="177" customWidth="1"/>
    <col min="9" max="9" width="9" style="176" customWidth="1"/>
    <col min="10" max="10" width="8.140625" style="331" customWidth="1"/>
    <col min="11" max="11" width="8.7109375" style="177" customWidth="1"/>
    <col min="12" max="12" width="9.140625" style="177" customWidth="1"/>
    <col min="13" max="13" width="9.140625" style="176" customWidth="1"/>
    <col min="14" max="15" width="10.42578125" style="176" customWidth="1"/>
    <col min="16" max="16" width="12.140625" style="177" customWidth="1"/>
    <col min="17" max="17" width="12.85546875" style="176" bestFit="1" customWidth="1"/>
    <col min="18" max="18" width="10.85546875" style="176" customWidth="1"/>
    <col min="19" max="45" width="10.140625" style="176" customWidth="1"/>
    <col min="46" max="16384" width="11.42578125" style="176"/>
  </cols>
  <sheetData>
    <row r="1" spans="1:19" s="174" customFormat="1" ht="15.75">
      <c r="B1" s="571" t="s">
        <v>358</v>
      </c>
      <c r="C1" s="571"/>
      <c r="D1" s="571"/>
      <c r="E1" s="571"/>
      <c r="F1" s="571"/>
      <c r="G1" s="571"/>
      <c r="H1" s="571"/>
      <c r="I1" s="571"/>
      <c r="J1" s="571"/>
      <c r="K1" s="571"/>
      <c r="L1" s="571"/>
      <c r="M1" s="571"/>
      <c r="N1" s="571"/>
      <c r="O1" s="571"/>
      <c r="P1" s="571"/>
      <c r="Q1" s="571"/>
    </row>
    <row r="2" spans="1:19" s="175" customFormat="1" ht="15.75">
      <c r="B2" s="572" t="s">
        <v>471</v>
      </c>
      <c r="C2" s="572"/>
      <c r="D2" s="572"/>
      <c r="E2" s="572"/>
      <c r="F2" s="572"/>
      <c r="G2" s="572"/>
      <c r="H2" s="572"/>
      <c r="I2" s="572"/>
      <c r="J2" s="572"/>
      <c r="K2" s="572"/>
      <c r="L2" s="572"/>
      <c r="M2" s="572"/>
      <c r="N2" s="572"/>
      <c r="O2" s="572"/>
      <c r="P2" s="572"/>
      <c r="Q2" s="572"/>
    </row>
    <row r="3" spans="1:19" ht="18.75" customHeight="1">
      <c r="Q3" s="382" t="s">
        <v>305</v>
      </c>
    </row>
    <row r="4" spans="1:19" ht="18.75" customHeight="1" thickBot="1">
      <c r="B4" s="149" t="s">
        <v>223</v>
      </c>
      <c r="C4" s="178"/>
      <c r="D4" s="178"/>
      <c r="E4" s="179"/>
      <c r="F4" s="178"/>
      <c r="G4" s="179"/>
      <c r="H4" s="180"/>
      <c r="I4" s="178"/>
      <c r="J4" s="332"/>
      <c r="K4" s="180"/>
      <c r="L4" s="180"/>
      <c r="M4" s="178"/>
      <c r="O4" s="178"/>
      <c r="P4" s="180"/>
    </row>
    <row r="5" spans="1:19" s="181" customFormat="1" ht="18.75" customHeight="1">
      <c r="B5" s="182"/>
      <c r="C5" s="183" t="s">
        <v>93</v>
      </c>
      <c r="D5" s="183" t="s">
        <v>94</v>
      </c>
      <c r="E5" s="183" t="s">
        <v>95</v>
      </c>
      <c r="F5" s="184" t="s">
        <v>96</v>
      </c>
      <c r="G5" s="185" t="s">
        <v>97</v>
      </c>
      <c r="H5" s="565" t="s">
        <v>98</v>
      </c>
      <c r="I5" s="565"/>
      <c r="J5" s="333" t="s">
        <v>99</v>
      </c>
      <c r="K5" s="184" t="s">
        <v>100</v>
      </c>
      <c r="L5" s="184" t="s">
        <v>100</v>
      </c>
      <c r="M5" s="184" t="s">
        <v>100</v>
      </c>
      <c r="N5" s="566" t="s">
        <v>101</v>
      </c>
      <c r="O5" s="566"/>
      <c r="P5" s="186" t="s">
        <v>102</v>
      </c>
      <c r="Q5" s="187" t="s">
        <v>500</v>
      </c>
    </row>
    <row r="6" spans="1:19" s="181" customFormat="1" ht="11.1" customHeight="1" thickBot="1">
      <c r="B6" s="188" t="s">
        <v>103</v>
      </c>
      <c r="C6" s="189" t="s">
        <v>104</v>
      </c>
      <c r="D6" s="189" t="s">
        <v>105</v>
      </c>
      <c r="E6" s="189" t="s">
        <v>106</v>
      </c>
      <c r="F6" s="190" t="s">
        <v>107</v>
      </c>
      <c r="G6" s="189" t="s">
        <v>108</v>
      </c>
      <c r="H6" s="190" t="s">
        <v>109</v>
      </c>
      <c r="I6" s="190" t="s">
        <v>110</v>
      </c>
      <c r="J6" s="334" t="s">
        <v>111</v>
      </c>
      <c r="K6" s="190" t="s">
        <v>112</v>
      </c>
      <c r="L6" s="190" t="s">
        <v>113</v>
      </c>
      <c r="M6" s="190" t="s">
        <v>113</v>
      </c>
      <c r="N6" s="189" t="s">
        <v>114</v>
      </c>
      <c r="O6" s="189" t="s">
        <v>115</v>
      </c>
      <c r="P6" s="189" t="s">
        <v>116</v>
      </c>
      <c r="Q6" s="191" t="s">
        <v>117</v>
      </c>
    </row>
    <row r="7" spans="1:19" s="192" customFormat="1" ht="18.75" customHeight="1">
      <c r="B7" s="193"/>
      <c r="C7" s="194" t="s">
        <v>118</v>
      </c>
      <c r="D7" s="194" t="s">
        <v>119</v>
      </c>
      <c r="E7" s="194" t="s">
        <v>120</v>
      </c>
      <c r="F7" s="195" t="s">
        <v>121</v>
      </c>
      <c r="G7" s="196" t="s">
        <v>122</v>
      </c>
      <c r="H7" s="195"/>
      <c r="I7" s="195"/>
      <c r="J7" s="335" t="s">
        <v>494</v>
      </c>
      <c r="K7" s="197">
        <v>2021</v>
      </c>
      <c r="L7" s="198" t="s">
        <v>495</v>
      </c>
      <c r="M7" s="195" t="s">
        <v>363</v>
      </c>
      <c r="N7" s="194" t="s">
        <v>123</v>
      </c>
      <c r="O7" s="199" t="s">
        <v>124</v>
      </c>
      <c r="P7" s="194">
        <v>2020</v>
      </c>
      <c r="Q7" s="200" t="s">
        <v>125</v>
      </c>
    </row>
    <row r="8" spans="1:19" s="592" customFormat="1" ht="29.25" customHeight="1">
      <c r="A8" s="593" t="s">
        <v>138</v>
      </c>
      <c r="B8" s="594" t="s">
        <v>126</v>
      </c>
      <c r="C8" s="595">
        <v>43028</v>
      </c>
      <c r="D8" s="596">
        <f>(100/25)*12</f>
        <v>48</v>
      </c>
      <c r="E8" s="595">
        <v>44196</v>
      </c>
      <c r="F8" s="597">
        <v>175000</v>
      </c>
      <c r="G8" s="598">
        <v>0.25</v>
      </c>
      <c r="H8" s="597">
        <f t="shared" ref="H8:H14" si="0">+F8*G8</f>
        <v>43750</v>
      </c>
      <c r="I8" s="597">
        <f t="shared" ref="I8:I14" si="1">+H8/12</f>
        <v>3645.8333333333335</v>
      </c>
      <c r="J8" s="599">
        <v>6</v>
      </c>
      <c r="K8" s="587">
        <v>0</v>
      </c>
      <c r="L8" s="587">
        <f>(2+12+12+12)*I8</f>
        <v>138541.66666666669</v>
      </c>
      <c r="M8" s="587">
        <v>0</v>
      </c>
      <c r="N8" s="588"/>
      <c r="O8" s="588"/>
      <c r="P8" s="589"/>
      <c r="Q8" s="590">
        <f t="shared" ref="Q8:Q14" si="2">+K8*P8</f>
        <v>0</v>
      </c>
      <c r="R8" s="591"/>
    </row>
    <row r="9" spans="1:19" s="210" customFormat="1" ht="29.25" customHeight="1">
      <c r="A9" s="600" t="s">
        <v>236</v>
      </c>
      <c r="B9" s="601" t="s">
        <v>127</v>
      </c>
      <c r="C9" s="602">
        <v>44305</v>
      </c>
      <c r="D9" s="603">
        <f>(100/25)*12</f>
        <v>48</v>
      </c>
      <c r="E9" s="604">
        <f>+C9+1460</f>
        <v>45765</v>
      </c>
      <c r="F9" s="605">
        <v>175000</v>
      </c>
      <c r="G9" s="606">
        <v>0.25</v>
      </c>
      <c r="H9" s="607">
        <f t="shared" si="0"/>
        <v>43750</v>
      </c>
      <c r="I9" s="607">
        <f t="shared" si="1"/>
        <v>3645.8333333333335</v>
      </c>
      <c r="J9" s="608">
        <v>8</v>
      </c>
      <c r="K9" s="607">
        <f t="shared" ref="K9:K14" si="3">I9*J9</f>
        <v>29166.666666666668</v>
      </c>
      <c r="L9" s="607">
        <v>0</v>
      </c>
      <c r="M9" s="607">
        <f t="shared" ref="M9:M14" si="4">+L9+K9</f>
        <v>29166.666666666668</v>
      </c>
      <c r="N9" s="609">
        <v>119.30200000000001</v>
      </c>
      <c r="O9" s="609">
        <v>120.215</v>
      </c>
      <c r="P9" s="610">
        <f>+IF((TRUNC((O9/N9),4))&lt;1,1,(TRUNC((O9/N9),4)))</f>
        <v>1.0076000000000001</v>
      </c>
      <c r="Q9" s="611">
        <f t="shared" si="2"/>
        <v>29388.333333333336</v>
      </c>
      <c r="R9" s="150" t="s">
        <v>228</v>
      </c>
    </row>
    <row r="10" spans="1:19" s="210" customFormat="1" ht="29.25" customHeight="1">
      <c r="A10" s="201" t="s">
        <v>236</v>
      </c>
      <c r="B10" s="211" t="s">
        <v>129</v>
      </c>
      <c r="C10" s="212">
        <v>41845</v>
      </c>
      <c r="D10" s="204">
        <f>(100/30)*12</f>
        <v>40</v>
      </c>
      <c r="E10" s="213">
        <f>+C10+(30.4*40)</f>
        <v>43061</v>
      </c>
      <c r="F10" s="501">
        <v>37500</v>
      </c>
      <c r="G10" s="214">
        <v>0.3</v>
      </c>
      <c r="H10" s="501">
        <f t="shared" si="0"/>
        <v>11250</v>
      </c>
      <c r="I10" s="501">
        <f t="shared" si="1"/>
        <v>937.5</v>
      </c>
      <c r="J10" s="336">
        <v>0</v>
      </c>
      <c r="K10" s="501">
        <f t="shared" si="3"/>
        <v>0</v>
      </c>
      <c r="L10" s="501">
        <f>I10*(5+12+12+11)</f>
        <v>37500</v>
      </c>
      <c r="M10" s="502">
        <f t="shared" si="4"/>
        <v>37500</v>
      </c>
      <c r="N10" s="207" t="s">
        <v>389</v>
      </c>
      <c r="O10" s="207" t="s">
        <v>390</v>
      </c>
      <c r="P10" s="208"/>
      <c r="Q10" s="504">
        <f t="shared" si="2"/>
        <v>0</v>
      </c>
      <c r="R10" s="150" t="s">
        <v>228</v>
      </c>
    </row>
    <row r="11" spans="1:19" s="210" customFormat="1" ht="29.25" customHeight="1">
      <c r="A11" s="201" t="s">
        <v>138</v>
      </c>
      <c r="B11" s="211" t="s">
        <v>130</v>
      </c>
      <c r="C11" s="203">
        <v>41768</v>
      </c>
      <c r="D11" s="204">
        <f>(100/30)*12</f>
        <v>40</v>
      </c>
      <c r="E11" s="213">
        <f>+C11+(30.4*40)</f>
        <v>42984</v>
      </c>
      <c r="F11" s="501">
        <v>31250</v>
      </c>
      <c r="G11" s="206">
        <v>0.3</v>
      </c>
      <c r="H11" s="501">
        <f t="shared" si="0"/>
        <v>9375</v>
      </c>
      <c r="I11" s="501">
        <f t="shared" si="1"/>
        <v>781.25</v>
      </c>
      <c r="J11" s="336">
        <v>0</v>
      </c>
      <c r="K11" s="501">
        <f t="shared" si="3"/>
        <v>0</v>
      </c>
      <c r="L11" s="501">
        <f>I11*(7+12+12+9)</f>
        <v>31250</v>
      </c>
      <c r="M11" s="502">
        <f t="shared" si="4"/>
        <v>31250</v>
      </c>
      <c r="N11" s="207"/>
      <c r="O11" s="207"/>
      <c r="P11" s="208"/>
      <c r="Q11" s="504">
        <f t="shared" si="2"/>
        <v>0</v>
      </c>
      <c r="R11" s="150" t="s">
        <v>228</v>
      </c>
    </row>
    <row r="12" spans="1:19" s="210" customFormat="1" ht="29.25" customHeight="1">
      <c r="A12" s="329" t="s">
        <v>315</v>
      </c>
      <c r="B12" s="211" t="s">
        <v>131</v>
      </c>
      <c r="C12" s="203">
        <v>41540</v>
      </c>
      <c r="D12" s="204">
        <f>(100/10)*12</f>
        <v>120</v>
      </c>
      <c r="E12" s="205">
        <f>+C12+(365*10)</f>
        <v>45190</v>
      </c>
      <c r="F12" s="501">
        <v>150000</v>
      </c>
      <c r="G12" s="206">
        <v>0.1</v>
      </c>
      <c r="H12" s="501">
        <f t="shared" si="0"/>
        <v>15000</v>
      </c>
      <c r="I12" s="501">
        <f t="shared" si="1"/>
        <v>1250</v>
      </c>
      <c r="J12" s="336">
        <v>12</v>
      </c>
      <c r="K12" s="503">
        <v>0</v>
      </c>
      <c r="L12" s="501">
        <f>I12*(3+12+12+12+12)</f>
        <v>63750</v>
      </c>
      <c r="M12" s="502">
        <f>+L12+15000</f>
        <v>78750</v>
      </c>
      <c r="N12" s="207">
        <v>100.92700000000001</v>
      </c>
      <c r="O12" s="207">
        <v>118.901</v>
      </c>
      <c r="P12" s="208">
        <f>TRUNC(O12/N12,4)</f>
        <v>1.1779999999999999</v>
      </c>
      <c r="Q12" s="504">
        <f>+M12*P12</f>
        <v>92767.5</v>
      </c>
      <c r="R12" s="150" t="s">
        <v>228</v>
      </c>
      <c r="S12" s="168" t="s">
        <v>45</v>
      </c>
    </row>
    <row r="13" spans="1:19" s="210" customFormat="1" ht="29.25" customHeight="1">
      <c r="A13" s="201" t="s">
        <v>138</v>
      </c>
      <c r="B13" s="202" t="s">
        <v>132</v>
      </c>
      <c r="C13" s="212">
        <v>39283</v>
      </c>
      <c r="D13" s="204">
        <f>(100/10)*12</f>
        <v>120</v>
      </c>
      <c r="E13" s="205">
        <f>+C13+(365*10)</f>
        <v>42933</v>
      </c>
      <c r="F13" s="501">
        <v>75000</v>
      </c>
      <c r="G13" s="206">
        <v>0.1</v>
      </c>
      <c r="H13" s="501">
        <f t="shared" si="0"/>
        <v>7500</v>
      </c>
      <c r="I13" s="501">
        <f t="shared" si="1"/>
        <v>625</v>
      </c>
      <c r="J13" s="336">
        <v>0</v>
      </c>
      <c r="K13" s="501">
        <f t="shared" si="3"/>
        <v>0</v>
      </c>
      <c r="L13" s="501">
        <f>F13</f>
        <v>75000</v>
      </c>
      <c r="M13" s="502">
        <f t="shared" si="4"/>
        <v>75000</v>
      </c>
      <c r="N13" s="207"/>
      <c r="O13" s="207"/>
      <c r="P13" s="208"/>
      <c r="Q13" s="504">
        <f t="shared" si="2"/>
        <v>0</v>
      </c>
      <c r="R13" s="150" t="s">
        <v>228</v>
      </c>
    </row>
    <row r="14" spans="1:19" s="210" customFormat="1" ht="29.25" customHeight="1">
      <c r="A14" s="201" t="s">
        <v>138</v>
      </c>
      <c r="B14" s="202" t="s">
        <v>133</v>
      </c>
      <c r="C14" s="212">
        <v>41054</v>
      </c>
      <c r="D14" s="204">
        <f>(100/10)*12</f>
        <v>120</v>
      </c>
      <c r="E14" s="205">
        <f>+C14+(365*10)</f>
        <v>44704</v>
      </c>
      <c r="F14" s="501">
        <v>320000</v>
      </c>
      <c r="G14" s="206">
        <v>0.1</v>
      </c>
      <c r="H14" s="501">
        <f t="shared" si="0"/>
        <v>32000</v>
      </c>
      <c r="I14" s="501">
        <f t="shared" si="1"/>
        <v>2666.6666666666665</v>
      </c>
      <c r="J14" s="336">
        <v>12</v>
      </c>
      <c r="K14" s="501">
        <f t="shared" si="3"/>
        <v>32000</v>
      </c>
      <c r="L14" s="501">
        <f>I14*(7+12+12+12+12+12)</f>
        <v>178666.66666666666</v>
      </c>
      <c r="M14" s="502">
        <f t="shared" si="4"/>
        <v>210666.66666666666</v>
      </c>
      <c r="N14" s="215">
        <v>96.897499999999994</v>
      </c>
      <c r="O14" s="207">
        <v>118.901</v>
      </c>
      <c r="P14" s="208">
        <f>TRUNC(O14/N14,4)</f>
        <v>1.2270000000000001</v>
      </c>
      <c r="Q14" s="504">
        <f t="shared" si="2"/>
        <v>39264</v>
      </c>
      <c r="R14" s="150" t="s">
        <v>228</v>
      </c>
    </row>
    <row r="15" spans="1:19" ht="18.75" customHeight="1" thickBot="1">
      <c r="B15" s="216"/>
      <c r="C15" s="217"/>
      <c r="D15" s="217"/>
      <c r="E15" s="217"/>
      <c r="F15" s="218"/>
      <c r="G15" s="219"/>
      <c r="H15" s="218"/>
      <c r="I15" s="218"/>
      <c r="J15" s="337"/>
      <c r="K15" s="218"/>
      <c r="L15" s="218"/>
      <c r="M15" s="218"/>
      <c r="N15" s="217"/>
      <c r="O15" s="217"/>
      <c r="P15" s="220"/>
      <c r="Q15" s="221"/>
      <c r="R15" s="222"/>
    </row>
    <row r="16" spans="1:19" s="223" customFormat="1" ht="18.75" customHeight="1" thickBot="1">
      <c r="B16" s="567" t="s">
        <v>134</v>
      </c>
      <c r="C16" s="568"/>
      <c r="D16" s="224"/>
      <c r="E16" s="224"/>
      <c r="F16" s="225">
        <f>SUM(F8:F15)</f>
        <v>963750</v>
      </c>
      <c r="G16" s="226"/>
      <c r="H16" s="225">
        <f>SUM(H8:H15)</f>
        <v>162625</v>
      </c>
      <c r="I16" s="225">
        <f>SUM(I8:I15)</f>
        <v>13552.083333333334</v>
      </c>
      <c r="J16" s="338"/>
      <c r="K16" s="228">
        <f>SUM(K8:K15)</f>
        <v>61166.666666666672</v>
      </c>
      <c r="L16" s="225">
        <f>SUM(L8:L15)</f>
        <v>524708.33333333337</v>
      </c>
      <c r="M16" s="225">
        <f>SUM(M8:M15)</f>
        <v>462333.33333333337</v>
      </c>
      <c r="N16" s="227"/>
      <c r="O16" s="227"/>
      <c r="P16" s="229"/>
      <c r="Q16" s="230">
        <f>+Q9+Q10+Q11+Q14</f>
        <v>68652.333333333343</v>
      </c>
      <c r="R16" s="150" t="s">
        <v>203</v>
      </c>
    </row>
    <row r="17" spans="1:19" s="223" customFormat="1" ht="18.75" customHeight="1" thickBot="1">
      <c r="A17" s="231" t="s">
        <v>138</v>
      </c>
      <c r="B17" s="232" t="s">
        <v>126</v>
      </c>
      <c r="C17" s="233">
        <v>43393</v>
      </c>
      <c r="D17" s="234">
        <f>(100/25)*12</f>
        <v>48</v>
      </c>
      <c r="E17" s="235">
        <f>+C17+1460</f>
        <v>44853</v>
      </c>
      <c r="F17" s="234">
        <v>125000</v>
      </c>
      <c r="G17" s="236">
        <v>0.25</v>
      </c>
      <c r="H17" s="234">
        <f>+F17*G17</f>
        <v>31250</v>
      </c>
      <c r="I17" s="234">
        <f>+H17/12</f>
        <v>2604.1666666666665</v>
      </c>
      <c r="J17" s="339">
        <v>6</v>
      </c>
      <c r="K17" s="298">
        <f>I17*J17</f>
        <v>15625</v>
      </c>
      <c r="L17" s="234">
        <f>(2+12+12+12)*I17</f>
        <v>98958.333333333328</v>
      </c>
      <c r="M17" s="237">
        <f>+L17+K17</f>
        <v>114583.33333333333</v>
      </c>
      <c r="N17" s="238"/>
      <c r="O17" s="238"/>
      <c r="P17" s="239"/>
      <c r="Q17" s="240"/>
      <c r="R17" s="241" t="s">
        <v>156</v>
      </c>
    </row>
    <row r="18" spans="1:19" ht="18.75" customHeight="1" thickBot="1">
      <c r="A18" s="176" t="s">
        <v>236</v>
      </c>
      <c r="B18" s="211" t="s">
        <v>127</v>
      </c>
      <c r="C18" s="203">
        <v>43209</v>
      </c>
      <c r="D18" s="204">
        <f>(100/25)*12</f>
        <v>48</v>
      </c>
      <c r="E18" s="235">
        <f>+C18+1460</f>
        <v>44669</v>
      </c>
      <c r="F18" s="330">
        <f>200000-F9</f>
        <v>25000</v>
      </c>
      <c r="G18" s="206">
        <v>0.25</v>
      </c>
      <c r="H18" s="204">
        <f>+F18*G18</f>
        <v>6250</v>
      </c>
      <c r="I18" s="204">
        <f>+H18/12</f>
        <v>520.83333333333337</v>
      </c>
      <c r="J18" s="336">
        <v>8</v>
      </c>
      <c r="K18" s="242">
        <f>I18*J18</f>
        <v>4166.666666666667</v>
      </c>
      <c r="L18" s="204">
        <v>0</v>
      </c>
      <c r="M18" s="243">
        <f>+L18+K18</f>
        <v>4166.666666666667</v>
      </c>
      <c r="N18" s="207"/>
      <c r="O18" s="207"/>
      <c r="P18" s="208"/>
      <c r="Q18" s="209"/>
      <c r="R18" s="222"/>
    </row>
    <row r="19" spans="1:19" ht="18.75" customHeight="1" thickBot="1">
      <c r="B19" s="244" t="s">
        <v>128</v>
      </c>
      <c r="C19" s="245">
        <v>43378</v>
      </c>
      <c r="D19" s="246">
        <f>(100/25)*12</f>
        <v>48</v>
      </c>
      <c r="E19" s="546">
        <f>+C19+1460</f>
        <v>44838</v>
      </c>
      <c r="F19" s="299">
        <v>182292</v>
      </c>
      <c r="G19" s="247">
        <v>0.25</v>
      </c>
      <c r="H19" s="246">
        <f>+F19*G19</f>
        <v>45573</v>
      </c>
      <c r="I19" s="246">
        <f>+H19/12</f>
        <v>3797.75</v>
      </c>
      <c r="J19" s="340">
        <v>2</v>
      </c>
      <c r="K19" s="246">
        <f>I19*J19</f>
        <v>7595.5</v>
      </c>
      <c r="L19" s="246">
        <v>0</v>
      </c>
      <c r="M19" s="246">
        <f>+L19+K19</f>
        <v>7595.5</v>
      </c>
      <c r="N19" s="248"/>
      <c r="O19" s="248"/>
      <c r="P19" s="249"/>
      <c r="Q19" s="250"/>
      <c r="R19" s="150" t="s">
        <v>228</v>
      </c>
      <c r="S19" s="210"/>
    </row>
    <row r="20" spans="1:19" ht="18.75" customHeight="1">
      <c r="B20" s="569" t="s">
        <v>364</v>
      </c>
      <c r="C20" s="569"/>
      <c r="D20" s="569"/>
      <c r="E20" s="569"/>
      <c r="F20" s="569"/>
      <c r="G20" s="569"/>
      <c r="H20" s="569"/>
      <c r="I20" s="569"/>
      <c r="J20" s="570"/>
      <c r="K20" s="251">
        <f>SUM(K16:K19)</f>
        <v>88553.833333333343</v>
      </c>
      <c r="L20" s="252" t="s">
        <v>316</v>
      </c>
      <c r="M20" s="253"/>
      <c r="N20" s="222"/>
      <c r="O20" s="222"/>
      <c r="P20" s="222"/>
      <c r="Q20" s="254"/>
      <c r="R20" s="222"/>
    </row>
    <row r="21" spans="1:19" ht="18.75" customHeight="1">
      <c r="B21" s="174" t="s">
        <v>135</v>
      </c>
      <c r="C21" s="174"/>
      <c r="D21" s="174"/>
      <c r="E21" s="174"/>
      <c r="F21" s="255"/>
      <c r="G21" s="174"/>
      <c r="H21" s="255"/>
      <c r="I21" s="255"/>
      <c r="J21" s="341"/>
      <c r="K21" s="256"/>
      <c r="L21" s="257"/>
      <c r="M21" s="258" t="s">
        <v>341</v>
      </c>
      <c r="N21" s="253">
        <f>+H12</f>
        <v>15000</v>
      </c>
      <c r="O21" s="222"/>
      <c r="P21" s="222"/>
      <c r="Q21" s="259"/>
      <c r="R21" s="222"/>
    </row>
    <row r="22" spans="1:19" ht="18.75" customHeight="1">
      <c r="B22" s="174" t="s">
        <v>136</v>
      </c>
      <c r="C22" s="174"/>
      <c r="D22" s="174"/>
      <c r="E22" s="174"/>
      <c r="F22" s="255"/>
      <c r="G22" s="174"/>
      <c r="H22" s="255"/>
      <c r="I22" s="255"/>
      <c r="J22" s="342"/>
      <c r="L22" s="260"/>
      <c r="M22" s="261" t="s">
        <v>342</v>
      </c>
      <c r="N22" s="262">
        <f>+N21*P12</f>
        <v>17670</v>
      </c>
      <c r="O22" s="263"/>
      <c r="P22" s="264"/>
      <c r="Q22" s="265"/>
      <c r="R22" s="222"/>
    </row>
    <row r="23" spans="1:19" ht="19.5" customHeight="1">
      <c r="B23" s="174" t="s">
        <v>137</v>
      </c>
      <c r="C23" s="174"/>
      <c r="D23" s="174"/>
      <c r="E23" s="174"/>
      <c r="F23" s="255"/>
      <c r="G23" s="174"/>
      <c r="H23" s="255"/>
      <c r="I23" s="255"/>
      <c r="J23" s="342"/>
      <c r="L23" s="176"/>
      <c r="M23" s="266"/>
      <c r="N23" s="266"/>
      <c r="O23" s="266"/>
      <c r="P23" s="176"/>
      <c r="Q23" s="177"/>
      <c r="R23" s="222"/>
    </row>
    <row r="24" spans="1:19" ht="19.5" customHeight="1">
      <c r="B24" s="174" t="s">
        <v>492</v>
      </c>
      <c r="C24" s="174"/>
      <c r="D24" s="174"/>
      <c r="E24" s="174"/>
      <c r="F24" s="255"/>
      <c r="G24" s="174"/>
      <c r="H24" s="255"/>
      <c r="I24" s="255"/>
      <c r="J24" s="342"/>
      <c r="L24" s="267"/>
      <c r="M24" s="177"/>
      <c r="N24" s="267"/>
      <c r="O24" s="177"/>
      <c r="P24" s="176"/>
      <c r="Q24" s="177"/>
      <c r="R24" s="222"/>
    </row>
    <row r="25" spans="1:19" ht="19.5" customHeight="1">
      <c r="B25" s="174" t="s">
        <v>493</v>
      </c>
      <c r="E25" s="176"/>
      <c r="F25" s="177"/>
      <c r="G25" s="176"/>
      <c r="I25" s="177"/>
      <c r="J25" s="342"/>
      <c r="M25" s="177"/>
      <c r="P25" s="176"/>
      <c r="Q25" s="268"/>
      <c r="R25" s="222"/>
    </row>
    <row r="26" spans="1:19" ht="19.5" customHeight="1">
      <c r="E26" s="176"/>
      <c r="G26" s="176"/>
      <c r="H26" s="176"/>
      <c r="J26" s="342"/>
      <c r="K26" s="176"/>
      <c r="L26" s="176"/>
      <c r="P26" s="176"/>
      <c r="Q26" s="177"/>
    </row>
    <row r="27" spans="1:19" ht="19.5" customHeight="1">
      <c r="B27" s="174"/>
      <c r="E27" s="176"/>
      <c r="F27" s="177"/>
      <c r="G27" s="176"/>
      <c r="I27" s="177"/>
      <c r="J27" s="342"/>
      <c r="M27" s="177"/>
      <c r="P27" s="176"/>
      <c r="Q27" s="177"/>
    </row>
    <row r="28" spans="1:19">
      <c r="C28" s="174"/>
      <c r="D28" s="174"/>
      <c r="E28" s="174"/>
      <c r="F28" s="255"/>
      <c r="G28" s="174"/>
      <c r="I28" s="177"/>
      <c r="J28" s="342"/>
      <c r="M28" s="177"/>
      <c r="P28" s="176"/>
      <c r="Q28" s="177"/>
    </row>
    <row r="29" spans="1:19" ht="12.75">
      <c r="B29" s="269"/>
      <c r="E29" s="176"/>
      <c r="F29" s="177"/>
      <c r="G29" s="176"/>
      <c r="I29" s="177"/>
      <c r="J29" s="342"/>
      <c r="M29" s="177"/>
      <c r="P29" s="176"/>
      <c r="Q29" s="177"/>
    </row>
    <row r="30" spans="1:19">
      <c r="E30" s="176"/>
      <c r="F30" s="177"/>
      <c r="G30" s="176"/>
      <c r="I30" s="177"/>
      <c r="J30" s="342"/>
      <c r="M30" s="177"/>
      <c r="P30" s="176"/>
      <c r="Q30" s="177"/>
    </row>
  </sheetData>
  <mergeCells count="6">
    <mergeCell ref="H5:I5"/>
    <mergeCell ref="N5:O5"/>
    <mergeCell ref="B16:C16"/>
    <mergeCell ref="B20:J20"/>
    <mergeCell ref="B1:Q1"/>
    <mergeCell ref="B2:Q2"/>
  </mergeCells>
  <phoneticPr fontId="2" type="noConversion"/>
  <hyperlinks>
    <hyperlink ref="B4" location="INDICE!A14" display="INDICE"/>
    <hyperlink ref="R17" location="'Cédula 4'!E36" display="Cédula 4"/>
    <hyperlink ref="R16" location="'Cédula 12'!D15" display="Cédula 12"/>
    <hyperlink ref="R13" location="'Cedula 2'!C20" display="Cédula 2"/>
    <hyperlink ref="R10" location="'Cedula 2'!C18" display="Cédula 2"/>
    <hyperlink ref="R11" location="'Cedula 2'!C19" display="Cédula 2"/>
    <hyperlink ref="R14" location="'Cedula 2'!C21" display="Cédula 2"/>
    <hyperlink ref="R9" location="'Cedula 2'!C22" display="Cédula 2"/>
    <hyperlink ref="R19" location="'Cedula 2'!C23" display="Cédula 2"/>
    <hyperlink ref="R12" location="'Cedula 2'!C17" display="Cédula 2"/>
    <hyperlink ref="S12" location="'Cédula 3'!E35" display="Cédula 3"/>
  </hyperlinks>
  <printOptions horizontalCentered="1" gridLines="1"/>
  <pageMargins left="0.23622047244094491" right="0.23622047244094491" top="0.74803149606299213" bottom="0.74803149606299213" header="0.31496062992125984" footer="0.31496062992125984"/>
  <pageSetup paperSize="119" scale="75" firstPageNumber="0" orientation="landscape" horizontalDpi="300" vertic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pageSetUpPr fitToPage="1"/>
  </sheetPr>
  <dimension ref="A1:G48"/>
  <sheetViews>
    <sheetView showGridLines="0" topLeftCell="A7" zoomScaleSheetLayoutView="110" zoomScalePageLayoutView="110" workbookViewId="0">
      <selection activeCell="A42" sqref="A42"/>
    </sheetView>
  </sheetViews>
  <sheetFormatPr baseColWidth="10" defaultColWidth="11.42578125" defaultRowHeight="12.75"/>
  <cols>
    <col min="1" max="1" width="4.85546875" style="311" customWidth="1"/>
    <col min="2" max="2" width="46.140625" style="311" customWidth="1"/>
    <col min="3" max="4" width="14.42578125" style="324" customWidth="1"/>
    <col min="5" max="5" width="13.85546875" style="324" customWidth="1"/>
    <col min="6" max="6" width="8.140625" style="311" bestFit="1" customWidth="1"/>
    <col min="7" max="7" width="4.140625" style="311" customWidth="1"/>
    <col min="8" max="16384" width="11.42578125" style="305"/>
  </cols>
  <sheetData>
    <row r="1" spans="1:7" s="269" customFormat="1" ht="15.75">
      <c r="B1" s="571" t="s">
        <v>358</v>
      </c>
      <c r="C1" s="571"/>
      <c r="D1" s="571"/>
      <c r="E1" s="571"/>
    </row>
    <row r="2" spans="1:7" s="269" customFormat="1" ht="15.75">
      <c r="B2" s="571" t="s">
        <v>472</v>
      </c>
      <c r="C2" s="571"/>
      <c r="D2" s="571"/>
      <c r="E2" s="571"/>
    </row>
    <row r="3" spans="1:7" s="269" customFormat="1" ht="15.75">
      <c r="C3" s="296"/>
      <c r="D3" s="296"/>
      <c r="E3" s="382" t="s">
        <v>306</v>
      </c>
    </row>
    <row r="4" spans="1:7" s="269" customFormat="1">
      <c r="C4" s="296"/>
      <c r="D4" s="296"/>
      <c r="E4" s="296"/>
    </row>
    <row r="5" spans="1:7" s="269" customFormat="1" ht="14.25">
      <c r="B5" s="149" t="s">
        <v>223</v>
      </c>
      <c r="C5" s="296"/>
      <c r="D5" s="296"/>
      <c r="E5" s="313"/>
    </row>
    <row r="6" spans="1:7" s="269" customFormat="1" ht="14.25" customHeight="1">
      <c r="B6" s="300" t="s">
        <v>103</v>
      </c>
      <c r="C6" s="300" t="s">
        <v>138</v>
      </c>
      <c r="D6" s="300" t="s">
        <v>139</v>
      </c>
      <c r="E6" s="300" t="s">
        <v>105</v>
      </c>
    </row>
    <row r="7" spans="1:7" s="269" customFormat="1" ht="14.25" customHeight="1">
      <c r="B7" s="301"/>
      <c r="C7" s="314"/>
      <c r="D7" s="314"/>
      <c r="E7" s="314"/>
      <c r="F7" s="302"/>
      <c r="G7" s="303"/>
    </row>
    <row r="8" spans="1:7" s="269" customFormat="1" ht="14.25" customHeight="1">
      <c r="B8" s="301" t="s">
        <v>140</v>
      </c>
      <c r="C8" s="315">
        <f>'Cédula 6'!K10</f>
        <v>0</v>
      </c>
      <c r="D8" s="315">
        <f>'Cédula 6'!K11</f>
        <v>0</v>
      </c>
      <c r="E8" s="315">
        <f t="shared" ref="E8:E28" si="0">+C8+D8</f>
        <v>0</v>
      </c>
      <c r="F8" s="304" t="s">
        <v>48</v>
      </c>
      <c r="G8" s="303"/>
    </row>
    <row r="9" spans="1:7" s="269" customFormat="1" ht="14.25" customHeight="1">
      <c r="B9" s="301" t="s">
        <v>141</v>
      </c>
      <c r="C9" s="315">
        <f>'Cédula 6'!K14</f>
        <v>32000</v>
      </c>
      <c r="D9" s="315">
        <v>0</v>
      </c>
      <c r="E9" s="315">
        <f>+C9+D9</f>
        <v>32000</v>
      </c>
      <c r="F9" s="304" t="s">
        <v>48</v>
      </c>
      <c r="G9" s="303"/>
    </row>
    <row r="10" spans="1:7" s="269" customFormat="1" ht="14.25" customHeight="1">
      <c r="B10" s="301" t="s">
        <v>142</v>
      </c>
      <c r="C10" s="315">
        <f>+'Cédula 6'!K17+'Cédula 6'!K19</f>
        <v>23220.5</v>
      </c>
      <c r="D10" s="315">
        <f>+'Cédula 6'!K9+'Cédula 6'!K18</f>
        <v>33333.333333333336</v>
      </c>
      <c r="E10" s="315">
        <f>+C10+D10</f>
        <v>56553.833333333336</v>
      </c>
      <c r="F10" s="304" t="s">
        <v>48</v>
      </c>
      <c r="G10" s="303"/>
    </row>
    <row r="11" spans="1:7" s="269" customFormat="1" ht="14.25" customHeight="1">
      <c r="B11" s="301" t="s">
        <v>254</v>
      </c>
      <c r="C11" s="315">
        <v>0</v>
      </c>
      <c r="D11" s="315">
        <v>0</v>
      </c>
      <c r="E11" s="315">
        <f t="shared" si="0"/>
        <v>0</v>
      </c>
      <c r="F11" s="304" t="s">
        <v>48</v>
      </c>
      <c r="G11" s="303"/>
    </row>
    <row r="12" spans="1:7" ht="14.25" customHeight="1">
      <c r="A12" s="269"/>
      <c r="B12" s="584" t="s">
        <v>143</v>
      </c>
      <c r="C12" s="585">
        <v>300150</v>
      </c>
      <c r="D12" s="585">
        <v>352350</v>
      </c>
      <c r="E12" s="585">
        <f>+C12+D12</f>
        <v>652500</v>
      </c>
      <c r="F12" s="304"/>
      <c r="G12" s="303"/>
    </row>
    <row r="13" spans="1:7" ht="14.25" customHeight="1">
      <c r="A13" s="269"/>
      <c r="B13" s="584" t="s">
        <v>144</v>
      </c>
      <c r="C13" s="585">
        <v>64925</v>
      </c>
      <c r="D13" s="585">
        <v>0</v>
      </c>
      <c r="E13" s="585">
        <f>+C13+D13</f>
        <v>64925</v>
      </c>
      <c r="F13" s="304"/>
      <c r="G13" s="303"/>
    </row>
    <row r="14" spans="1:7" s="269" customFormat="1" ht="14.25" customHeight="1">
      <c r="B14" s="301" t="s">
        <v>318</v>
      </c>
      <c r="C14" s="315">
        <v>51951.25</v>
      </c>
      <c r="D14" s="315">
        <v>60986.25</v>
      </c>
      <c r="E14" s="316">
        <f>+C14+D14</f>
        <v>112937.5</v>
      </c>
      <c r="F14" s="306" t="s">
        <v>345</v>
      </c>
      <c r="G14" s="303"/>
    </row>
    <row r="15" spans="1:7" ht="14.25" customHeight="1">
      <c r="A15" s="269"/>
      <c r="B15" s="584" t="s">
        <v>145</v>
      </c>
      <c r="C15" s="585">
        <v>89700</v>
      </c>
      <c r="D15" s="585">
        <v>105300</v>
      </c>
      <c r="E15" s="586">
        <f>+C15+D15</f>
        <v>195000</v>
      </c>
      <c r="F15" s="136"/>
      <c r="G15" s="303"/>
    </row>
    <row r="16" spans="1:7" ht="14.25" customHeight="1">
      <c r="A16" s="269"/>
      <c r="B16" s="584" t="s">
        <v>146</v>
      </c>
      <c r="C16" s="585">
        <v>0</v>
      </c>
      <c r="D16" s="585">
        <v>27962.5</v>
      </c>
      <c r="E16" s="586">
        <f t="shared" si="0"/>
        <v>27962.5</v>
      </c>
      <c r="F16" s="306"/>
      <c r="G16" s="303"/>
    </row>
    <row r="17" spans="1:7" ht="14.25" customHeight="1">
      <c r="A17" s="269"/>
      <c r="B17" s="584" t="s">
        <v>147</v>
      </c>
      <c r="C17" s="585">
        <v>15617.5</v>
      </c>
      <c r="D17" s="585">
        <v>18332.5</v>
      </c>
      <c r="E17" s="586">
        <f>+C17+D17</f>
        <v>33950</v>
      </c>
      <c r="F17" s="136"/>
      <c r="G17" s="303"/>
    </row>
    <row r="18" spans="1:7" ht="14.25" customHeight="1">
      <c r="A18" s="269"/>
      <c r="B18" s="584" t="s">
        <v>148</v>
      </c>
      <c r="C18" s="585">
        <v>18526.25</v>
      </c>
      <c r="D18" s="585">
        <v>21748.75</v>
      </c>
      <c r="E18" s="585">
        <f t="shared" si="0"/>
        <v>40275</v>
      </c>
      <c r="F18" s="304"/>
      <c r="G18" s="303"/>
    </row>
    <row r="19" spans="1:7" ht="14.25" customHeight="1">
      <c r="A19" s="269"/>
      <c r="B19" s="584" t="s">
        <v>149</v>
      </c>
      <c r="C19" s="585">
        <v>48357.5</v>
      </c>
      <c r="D19" s="585">
        <v>56767.5</v>
      </c>
      <c r="E19" s="585">
        <f>+C19+D19</f>
        <v>105125</v>
      </c>
      <c r="F19" s="304"/>
      <c r="G19" s="303"/>
    </row>
    <row r="20" spans="1:7" ht="14.25" customHeight="1">
      <c r="A20" s="269"/>
      <c r="B20" s="584" t="s">
        <v>150</v>
      </c>
      <c r="C20" s="585">
        <v>6275</v>
      </c>
      <c r="D20" s="585">
        <v>7365</v>
      </c>
      <c r="E20" s="585">
        <f>+C20+D20</f>
        <v>13640</v>
      </c>
      <c r="F20" s="304"/>
      <c r="G20" s="303"/>
    </row>
    <row r="21" spans="1:7" s="269" customFormat="1" ht="14.25" customHeight="1">
      <c r="B21" s="301" t="s">
        <v>151</v>
      </c>
      <c r="C21" s="315">
        <v>32875</v>
      </c>
      <c r="D21" s="315">
        <v>12787.5</v>
      </c>
      <c r="E21" s="315">
        <f>+C21+D21</f>
        <v>45662.5</v>
      </c>
      <c r="F21" s="304"/>
      <c r="G21" s="303"/>
    </row>
    <row r="22" spans="1:7" ht="14.25" customHeight="1">
      <c r="A22" s="269"/>
      <c r="B22" s="584" t="s">
        <v>152</v>
      </c>
      <c r="C22" s="585">
        <v>55875</v>
      </c>
      <c r="D22" s="585">
        <v>23437.5</v>
      </c>
      <c r="E22" s="585">
        <f t="shared" si="0"/>
        <v>79312.5</v>
      </c>
      <c r="F22" s="304"/>
      <c r="G22" s="303"/>
    </row>
    <row r="23" spans="1:7" s="269" customFormat="1" ht="14.25" customHeight="1">
      <c r="B23" s="301" t="s">
        <v>153</v>
      </c>
      <c r="C23" s="315">
        <v>27825</v>
      </c>
      <c r="D23" s="315">
        <v>0</v>
      </c>
      <c r="E23" s="315">
        <f>+C23+D23</f>
        <v>27825</v>
      </c>
      <c r="F23" s="304"/>
      <c r="G23" s="303"/>
    </row>
    <row r="24" spans="1:7" s="269" customFormat="1" ht="14.25" customHeight="1">
      <c r="B24" s="301" t="s">
        <v>49</v>
      </c>
      <c r="C24" s="315">
        <v>35750</v>
      </c>
      <c r="D24" s="315">
        <v>6817.5</v>
      </c>
      <c r="E24" s="315">
        <f t="shared" si="0"/>
        <v>42567.5</v>
      </c>
      <c r="F24" s="304"/>
      <c r="G24" s="303"/>
    </row>
    <row r="25" spans="1:7" s="269" customFormat="1" ht="14.25" customHeight="1">
      <c r="B25" s="301" t="s">
        <v>50</v>
      </c>
      <c r="C25" s="315">
        <v>7845</v>
      </c>
      <c r="D25" s="315">
        <v>0</v>
      </c>
      <c r="E25" s="315">
        <f t="shared" si="0"/>
        <v>7845</v>
      </c>
      <c r="F25" s="304"/>
      <c r="G25" s="303"/>
    </row>
    <row r="26" spans="1:7" s="269" customFormat="1" ht="14.25" customHeight="1">
      <c r="B26" s="301" t="s">
        <v>154</v>
      </c>
      <c r="C26" s="315">
        <v>4500</v>
      </c>
      <c r="D26" s="315">
        <v>6547.5</v>
      </c>
      <c r="E26" s="315">
        <f t="shared" si="0"/>
        <v>11047.5</v>
      </c>
      <c r="F26" s="304"/>
      <c r="G26" s="303"/>
    </row>
    <row r="27" spans="1:7" s="269" customFormat="1" ht="14.25" customHeight="1">
      <c r="B27" s="301" t="s">
        <v>317</v>
      </c>
      <c r="C27" s="315">
        <v>29487.5</v>
      </c>
      <c r="D27" s="315">
        <v>0</v>
      </c>
      <c r="E27" s="315">
        <f t="shared" si="0"/>
        <v>29487.5</v>
      </c>
      <c r="F27" s="151" t="s">
        <v>156</v>
      </c>
    </row>
    <row r="28" spans="1:7" s="269" customFormat="1" ht="14.25" customHeight="1">
      <c r="B28" s="301" t="s">
        <v>51</v>
      </c>
      <c r="C28" s="315">
        <v>93750</v>
      </c>
      <c r="D28" s="315">
        <v>0</v>
      </c>
      <c r="E28" s="315">
        <f t="shared" si="0"/>
        <v>93750</v>
      </c>
      <c r="F28" s="304"/>
      <c r="G28" s="303"/>
    </row>
    <row r="29" spans="1:7" s="269" customFormat="1" ht="14.25" customHeight="1">
      <c r="B29" s="301"/>
      <c r="C29" s="317"/>
      <c r="D29" s="317"/>
      <c r="E29" s="317"/>
      <c r="F29" s="302"/>
      <c r="G29" s="303"/>
    </row>
    <row r="30" spans="1:7" s="269" customFormat="1" ht="14.25" customHeight="1">
      <c r="B30" s="307" t="s">
        <v>155</v>
      </c>
      <c r="C30" s="318">
        <f>SUM(C8:C29)</f>
        <v>938630.5</v>
      </c>
      <c r="D30" s="318">
        <f>SUM(D8:D29)</f>
        <v>733735.83333333326</v>
      </c>
      <c r="E30" s="318">
        <f>SUM(E8:E28)</f>
        <v>1672366.3333333335</v>
      </c>
      <c r="F30" s="302"/>
      <c r="G30" s="303"/>
    </row>
    <row r="31" spans="1:7" s="269" customFormat="1" ht="14.25" customHeight="1">
      <c r="B31" s="308"/>
      <c r="C31" s="319"/>
      <c r="D31" s="319"/>
      <c r="E31" s="319"/>
      <c r="F31" s="303"/>
      <c r="G31" s="303"/>
    </row>
    <row r="32" spans="1:7" s="269" customFormat="1" ht="14.25" customHeight="1">
      <c r="B32" s="303" t="s">
        <v>352</v>
      </c>
      <c r="C32" s="153"/>
      <c r="D32" s="153"/>
      <c r="E32" s="320"/>
      <c r="F32" s="303"/>
      <c r="G32" s="303"/>
    </row>
    <row r="33" spans="2:5" s="269" customFormat="1" ht="14.25">
      <c r="C33" s="153" t="s">
        <v>44</v>
      </c>
      <c r="D33" s="153" t="s">
        <v>44</v>
      </c>
      <c r="E33" s="296"/>
    </row>
    <row r="34" spans="2:5" s="269" customFormat="1">
      <c r="B34" s="309" t="s">
        <v>256</v>
      </c>
      <c r="C34" s="321">
        <f>ROUND(C30*0.1,0)</f>
        <v>93863</v>
      </c>
      <c r="D34" s="321">
        <f>ROUND(D30*0.1,0)</f>
        <v>73374</v>
      </c>
      <c r="E34" s="321">
        <f>C34+D34</f>
        <v>167237</v>
      </c>
    </row>
    <row r="35" spans="2:5" s="269" customFormat="1">
      <c r="B35" s="309" t="s">
        <v>257</v>
      </c>
      <c r="C35" s="321">
        <f>ROUND(C30*0.9,0)</f>
        <v>844767</v>
      </c>
      <c r="D35" s="321">
        <f>ROUND(D30*0.9,0)</f>
        <v>660362</v>
      </c>
      <c r="E35" s="321">
        <f>C35+D35</f>
        <v>1505129</v>
      </c>
    </row>
    <row r="36" spans="2:5" s="269" customFormat="1" ht="15" thickBot="1">
      <c r="C36" s="153" t="s">
        <v>44</v>
      </c>
      <c r="D36" s="153" t="s">
        <v>44</v>
      </c>
      <c r="E36" s="322">
        <f>E34+E35</f>
        <v>1672366</v>
      </c>
    </row>
    <row r="37" spans="2:5" s="269" customFormat="1" ht="13.5" thickTop="1">
      <c r="C37" s="313"/>
      <c r="D37" s="296"/>
      <c r="E37" s="296"/>
    </row>
    <row r="38" spans="2:5" s="269" customFormat="1">
      <c r="B38" s="310" t="s">
        <v>240</v>
      </c>
      <c r="C38" s="296"/>
      <c r="D38" s="296"/>
      <c r="E38" s="296"/>
    </row>
    <row r="39" spans="2:5" s="269" customFormat="1">
      <c r="B39" s="269" t="s">
        <v>237</v>
      </c>
      <c r="C39" s="313">
        <v>5898</v>
      </c>
      <c r="D39" s="296"/>
      <c r="E39" s="296"/>
    </row>
    <row r="40" spans="2:5" s="269" customFormat="1">
      <c r="B40" s="269" t="s">
        <v>238</v>
      </c>
      <c r="C40" s="313">
        <v>2949</v>
      </c>
      <c r="D40" s="296"/>
      <c r="E40" s="296"/>
    </row>
    <row r="41" spans="2:5" s="269" customFormat="1">
      <c r="B41" s="269" t="s">
        <v>239</v>
      </c>
      <c r="C41" s="323">
        <v>20641</v>
      </c>
      <c r="D41" s="296"/>
      <c r="E41" s="296"/>
    </row>
    <row r="42" spans="2:5" s="269" customFormat="1">
      <c r="C42" s="313">
        <f>SUM(C39:C41)</f>
        <v>29488</v>
      </c>
      <c r="D42" s="296"/>
      <c r="E42" s="296"/>
    </row>
    <row r="43" spans="2:5" s="269" customFormat="1">
      <c r="C43" s="296"/>
      <c r="D43" s="296"/>
      <c r="E43" s="296"/>
    </row>
    <row r="44" spans="2:5" s="269" customFormat="1">
      <c r="C44" s="296"/>
      <c r="D44" s="296"/>
      <c r="E44" s="296"/>
    </row>
    <row r="45" spans="2:5" s="269" customFormat="1">
      <c r="C45" s="296"/>
      <c r="D45" s="296"/>
      <c r="E45" s="296"/>
    </row>
    <row r="46" spans="2:5" s="269" customFormat="1">
      <c r="C46" s="296"/>
      <c r="D46" s="296"/>
      <c r="E46" s="296"/>
    </row>
    <row r="47" spans="2:5" s="269" customFormat="1">
      <c r="C47" s="296"/>
      <c r="D47" s="296"/>
      <c r="E47" s="296"/>
    </row>
    <row r="48" spans="2:5" s="269" customFormat="1">
      <c r="C48" s="296"/>
      <c r="D48" s="296"/>
      <c r="E48" s="296"/>
    </row>
  </sheetData>
  <mergeCells count="2">
    <mergeCell ref="B1:E1"/>
    <mergeCell ref="B2:E2"/>
  </mergeCells>
  <phoneticPr fontId="2" type="noConversion"/>
  <hyperlinks>
    <hyperlink ref="B5" location="INDICE!A15" display="INDICE"/>
    <hyperlink ref="F8:F10" location="'Cédula 4'!C27" display="Cédula 4"/>
    <hyperlink ref="F8" location="'Cédula 6'!K14" display="Cédula 6"/>
    <hyperlink ref="F9" location="'Cédula 6'!K17" display="Cédula 6"/>
    <hyperlink ref="F10" location="'Cédula 6'!K12" display="Cédula 6"/>
    <hyperlink ref="F27" location="'Cédula 4'!C21" display="Cédula 4"/>
    <hyperlink ref="F11" location="'Cédula 6'!K15" display="Cédula 6"/>
    <hyperlink ref="C33" location="'Cédula 1'!C27" display="Cédula 1"/>
    <hyperlink ref="C36" location="'Cédula 1'!C29" display="Cédula 1"/>
    <hyperlink ref="D33" location="'Cédula 1'!C26" display="Cédula 1"/>
    <hyperlink ref="D36" location="'Cédula 1'!C28" display="Cédula 1"/>
  </hyperlinks>
  <printOptions horizontalCentered="1" gridLines="1"/>
  <pageMargins left="0.25" right="0.25" top="0.75" bottom="0.75" header="0.3" footer="0.3"/>
  <pageSetup paperSize="119" scale="96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pageSetUpPr fitToPage="1"/>
  </sheetPr>
  <dimension ref="B1:N117"/>
  <sheetViews>
    <sheetView showGridLines="0" zoomScale="90" zoomScaleNormal="90" zoomScaleSheetLayoutView="110" zoomScalePageLayoutView="110" workbookViewId="0">
      <selection activeCell="C43" sqref="C43"/>
    </sheetView>
  </sheetViews>
  <sheetFormatPr baseColWidth="10" defaultColWidth="11.42578125" defaultRowHeight="12.75"/>
  <cols>
    <col min="1" max="1" width="2.42578125" style="32" customWidth="1"/>
    <col min="2" max="2" width="8.42578125" style="38" customWidth="1"/>
    <col min="3" max="3" width="11.42578125" style="32" customWidth="1"/>
    <col min="4" max="4" width="14" style="32" customWidth="1"/>
    <col min="5" max="5" width="5.85546875" style="32" customWidth="1"/>
    <col min="6" max="7" width="11.42578125" style="32" customWidth="1"/>
    <col min="8" max="8" width="17.140625" style="63" customWidth="1"/>
    <col min="9" max="9" width="9.140625" style="32" bestFit="1" customWidth="1"/>
    <col min="10" max="10" width="3.140625" style="32" customWidth="1"/>
    <col min="11" max="16384" width="11.42578125" style="32"/>
  </cols>
  <sheetData>
    <row r="1" spans="2:10" s="38" customFormat="1" ht="15.75">
      <c r="C1" s="573" t="s">
        <v>358</v>
      </c>
      <c r="D1" s="573"/>
      <c r="E1" s="573"/>
      <c r="F1" s="573"/>
      <c r="G1" s="573"/>
      <c r="H1" s="573"/>
      <c r="I1" s="95"/>
    </row>
    <row r="2" spans="2:10" s="38" customFormat="1" ht="15.75">
      <c r="C2" s="573" t="s">
        <v>473</v>
      </c>
      <c r="D2" s="573"/>
      <c r="E2" s="573"/>
      <c r="F2" s="573"/>
      <c r="G2" s="573"/>
      <c r="H2" s="573"/>
      <c r="I2" s="95"/>
    </row>
    <row r="3" spans="2:10" ht="15.75">
      <c r="H3" s="382" t="s">
        <v>307</v>
      </c>
    </row>
    <row r="4" spans="2:10">
      <c r="I4" s="64"/>
    </row>
    <row r="5" spans="2:10" ht="15" thickBot="1">
      <c r="B5" s="22" t="s">
        <v>223</v>
      </c>
      <c r="I5" s="64"/>
    </row>
    <row r="6" spans="2:10" s="38" customFormat="1">
      <c r="B6" s="98"/>
      <c r="C6" s="99" t="s">
        <v>366</v>
      </c>
      <c r="D6" s="99"/>
      <c r="E6" s="99"/>
      <c r="F6" s="99"/>
      <c r="G6" s="99"/>
      <c r="H6" s="100"/>
      <c r="I6" s="101"/>
      <c r="J6" s="102"/>
    </row>
    <row r="7" spans="2:10">
      <c r="B7" s="103"/>
      <c r="C7" s="35"/>
      <c r="D7" s="35"/>
      <c r="E7" s="35"/>
      <c r="F7" s="35"/>
      <c r="G7" s="35"/>
      <c r="H7" s="104"/>
      <c r="I7" s="105"/>
      <c r="J7" s="106"/>
    </row>
    <row r="8" spans="2:10" ht="14.25">
      <c r="B8" s="107"/>
      <c r="C8" s="35" t="s">
        <v>53</v>
      </c>
      <c r="D8" s="35"/>
      <c r="E8" s="35"/>
      <c r="F8" s="35"/>
      <c r="G8" s="35"/>
      <c r="H8" s="108">
        <f>'Cédula 4'!C50-'Cédula 10'!F24-'Cédula 9'!N17</f>
        <v>2135294.1744204639</v>
      </c>
      <c r="I8" s="60" t="s">
        <v>156</v>
      </c>
      <c r="J8" s="106"/>
    </row>
    <row r="9" spans="2:10" ht="14.25">
      <c r="B9" s="107" t="s">
        <v>157</v>
      </c>
      <c r="C9" s="35" t="s">
        <v>298</v>
      </c>
      <c r="D9" s="35"/>
      <c r="E9" s="35"/>
      <c r="F9" s="35"/>
      <c r="G9" s="35"/>
      <c r="H9" s="108">
        <f>'Cédula 1'!C41</f>
        <v>710991</v>
      </c>
      <c r="I9" s="60" t="s">
        <v>156</v>
      </c>
      <c r="J9" s="109">
        <v>1</v>
      </c>
    </row>
    <row r="10" spans="2:10" ht="14.25">
      <c r="B10" s="107" t="s">
        <v>157</v>
      </c>
      <c r="C10" s="35" t="s">
        <v>338</v>
      </c>
      <c r="D10" s="35"/>
      <c r="E10" s="35"/>
      <c r="F10" s="35"/>
      <c r="G10" s="35"/>
      <c r="H10" s="45">
        <f>+'Cédula 4'!C27</f>
        <v>59857</v>
      </c>
      <c r="I10" s="60" t="s">
        <v>156</v>
      </c>
      <c r="J10" s="106"/>
    </row>
    <row r="11" spans="2:10" s="38" customFormat="1">
      <c r="B11" s="107"/>
      <c r="C11" s="110" t="s">
        <v>362</v>
      </c>
      <c r="D11" s="110"/>
      <c r="E11" s="110"/>
      <c r="F11" s="110"/>
      <c r="G11" s="110"/>
      <c r="H11" s="111">
        <f>+H8-H9-H10</f>
        <v>1364446.1744204639</v>
      </c>
      <c r="I11" s="105"/>
      <c r="J11" s="112"/>
    </row>
    <row r="12" spans="2:10">
      <c r="B12" s="107"/>
      <c r="C12" s="35"/>
      <c r="D12" s="35"/>
      <c r="E12" s="35"/>
      <c r="F12" s="35"/>
      <c r="G12" s="35"/>
      <c r="H12" s="108"/>
      <c r="I12" s="105"/>
      <c r="J12" s="106"/>
    </row>
    <row r="13" spans="2:10">
      <c r="B13" s="103"/>
      <c r="C13" s="35"/>
      <c r="D13" s="35"/>
      <c r="E13" s="35"/>
      <c r="F13" s="35"/>
      <c r="G13" s="35"/>
      <c r="H13" s="108"/>
      <c r="I13" s="105"/>
      <c r="J13" s="106"/>
    </row>
    <row r="14" spans="2:10">
      <c r="B14" s="103"/>
      <c r="C14" s="35" t="s">
        <v>343</v>
      </c>
      <c r="D14" s="35"/>
      <c r="E14" s="35"/>
      <c r="F14" s="35"/>
      <c r="G14" s="35"/>
      <c r="H14" s="108">
        <v>1010420</v>
      </c>
      <c r="I14" s="105"/>
      <c r="J14" s="106"/>
    </row>
    <row r="15" spans="2:10">
      <c r="B15" s="103"/>
      <c r="C15" s="35" t="s">
        <v>369</v>
      </c>
      <c r="D15" s="35"/>
      <c r="E15" s="35"/>
      <c r="F15" s="35"/>
      <c r="G15" s="35"/>
      <c r="H15" s="108"/>
      <c r="I15" s="105"/>
      <c r="J15" s="106"/>
    </row>
    <row r="16" spans="2:10">
      <c r="B16" s="103"/>
      <c r="C16" s="35"/>
      <c r="D16" s="35"/>
      <c r="E16" s="35"/>
      <c r="F16" s="35"/>
      <c r="G16" s="35"/>
      <c r="H16" s="108"/>
      <c r="I16" s="105"/>
      <c r="J16" s="106"/>
    </row>
    <row r="17" spans="2:14" ht="14.25">
      <c r="B17" s="103"/>
      <c r="C17" s="35" t="s">
        <v>102</v>
      </c>
      <c r="D17" s="40" t="s">
        <v>367</v>
      </c>
      <c r="E17" s="24"/>
      <c r="F17" s="41">
        <v>122.515</v>
      </c>
      <c r="G17" s="35"/>
      <c r="H17" s="113">
        <f>TRUNC(F17/F18,4)</f>
        <v>1.0336000000000001</v>
      </c>
      <c r="I17" s="35"/>
      <c r="J17" s="106"/>
    </row>
    <row r="18" spans="2:14">
      <c r="B18" s="103"/>
      <c r="C18" s="35"/>
      <c r="D18" s="114" t="s">
        <v>368</v>
      </c>
      <c r="E18" s="35"/>
      <c r="F18" s="115">
        <v>118.532</v>
      </c>
      <c r="G18" s="35"/>
      <c r="H18" s="108"/>
      <c r="I18" s="35"/>
      <c r="J18" s="106"/>
      <c r="N18" s="39"/>
    </row>
    <row r="19" spans="2:14">
      <c r="B19" s="103"/>
      <c r="C19" s="35"/>
      <c r="D19" s="35"/>
      <c r="E19" s="35"/>
      <c r="F19" s="35"/>
      <c r="G19" s="35"/>
      <c r="H19" s="44"/>
      <c r="I19" s="35"/>
      <c r="J19" s="106"/>
      <c r="N19" s="39"/>
    </row>
    <row r="20" spans="2:14">
      <c r="B20" s="103"/>
      <c r="C20" s="35" t="s">
        <v>370</v>
      </c>
      <c r="D20" s="35"/>
      <c r="E20" s="35"/>
      <c r="F20" s="35"/>
      <c r="G20" s="35"/>
      <c r="H20" s="108">
        <f>H14*H17</f>
        <v>1044370.1120000001</v>
      </c>
      <c r="I20" s="35"/>
      <c r="J20" s="106"/>
      <c r="N20" s="42"/>
    </row>
    <row r="21" spans="2:14">
      <c r="B21" s="103"/>
      <c r="C21" s="35"/>
      <c r="D21" s="35"/>
      <c r="E21" s="35"/>
      <c r="F21" s="35"/>
      <c r="G21" s="35"/>
      <c r="H21" s="108"/>
      <c r="I21" s="35"/>
      <c r="J21" s="106"/>
      <c r="N21" s="39"/>
    </row>
    <row r="22" spans="2:14">
      <c r="B22" s="103"/>
      <c r="C22" s="35" t="s">
        <v>371</v>
      </c>
      <c r="D22" s="35"/>
      <c r="E22" s="35"/>
      <c r="F22" s="35"/>
      <c r="G22" s="35"/>
      <c r="H22" s="108">
        <v>310767</v>
      </c>
      <c r="I22" s="35"/>
      <c r="J22" s="106"/>
      <c r="N22" s="39"/>
    </row>
    <row r="23" spans="2:14">
      <c r="B23" s="103"/>
      <c r="C23" s="35"/>
      <c r="D23" s="35"/>
      <c r="E23" s="35"/>
      <c r="F23" s="35"/>
      <c r="G23" s="35"/>
      <c r="H23" s="108"/>
      <c r="I23" s="35"/>
      <c r="J23" s="106"/>
      <c r="N23" s="39"/>
    </row>
    <row r="24" spans="2:14" ht="14.25">
      <c r="B24" s="103"/>
      <c r="C24" s="35" t="s">
        <v>102</v>
      </c>
      <c r="D24" s="40" t="s">
        <v>367</v>
      </c>
      <c r="E24" s="24"/>
      <c r="F24" s="41">
        <v>122.515</v>
      </c>
      <c r="G24" s="35"/>
      <c r="H24" s="113">
        <f>TRUNC(F24/F25,4)</f>
        <v>1.0336000000000001</v>
      </c>
      <c r="I24" s="35"/>
      <c r="J24" s="106"/>
      <c r="N24" s="39"/>
    </row>
    <row r="25" spans="2:14">
      <c r="B25" s="103"/>
      <c r="C25" s="35"/>
      <c r="D25" s="114" t="s">
        <v>368</v>
      </c>
      <c r="E25" s="35"/>
      <c r="F25" s="115">
        <v>118.532</v>
      </c>
      <c r="G25" s="35"/>
      <c r="H25" s="108"/>
      <c r="I25" s="35"/>
      <c r="J25" s="106"/>
      <c r="N25" s="39"/>
    </row>
    <row r="26" spans="2:14">
      <c r="B26" s="103"/>
      <c r="C26" s="35"/>
      <c r="D26" s="35"/>
      <c r="E26" s="35"/>
      <c r="F26" s="35"/>
      <c r="G26" s="35"/>
      <c r="H26" s="45"/>
      <c r="I26" s="35"/>
      <c r="J26" s="106"/>
      <c r="N26" s="39"/>
    </row>
    <row r="27" spans="2:14">
      <c r="B27" s="103"/>
      <c r="C27" s="35" t="s">
        <v>372</v>
      </c>
      <c r="D27" s="116"/>
      <c r="E27" s="116"/>
      <c r="F27" s="116"/>
      <c r="G27" s="116"/>
      <c r="H27" s="108">
        <f>H22*H24</f>
        <v>321208.77120000002</v>
      </c>
      <c r="I27" s="35"/>
      <c r="J27" s="106"/>
      <c r="N27" s="39"/>
    </row>
    <row r="28" spans="2:14">
      <c r="B28" s="103"/>
      <c r="C28" s="35"/>
      <c r="D28" s="35"/>
      <c r="E28" s="35"/>
      <c r="F28" s="35"/>
      <c r="G28" s="35"/>
      <c r="H28" s="108"/>
      <c r="I28" s="35"/>
      <c r="J28" s="106"/>
      <c r="N28" s="39"/>
    </row>
    <row r="29" spans="2:14">
      <c r="B29" s="103"/>
      <c r="C29" s="35" t="s">
        <v>362</v>
      </c>
      <c r="D29" s="116"/>
      <c r="E29" s="116"/>
      <c r="F29" s="116"/>
      <c r="G29" s="116"/>
      <c r="H29" s="44">
        <f>H11</f>
        <v>1364446.1744204639</v>
      </c>
      <c r="I29" s="35"/>
      <c r="J29" s="106"/>
      <c r="N29" s="39"/>
    </row>
    <row r="30" spans="2:14">
      <c r="B30" s="103"/>
      <c r="C30" s="35" t="s">
        <v>373</v>
      </c>
      <c r="D30" s="116"/>
      <c r="E30" s="116"/>
      <c r="F30" s="116"/>
      <c r="G30" s="116"/>
      <c r="H30" s="108">
        <f>+H27+H29</f>
        <v>1685654.9456204639</v>
      </c>
      <c r="I30" s="35"/>
      <c r="J30" s="106"/>
      <c r="N30" s="39"/>
    </row>
    <row r="31" spans="2:14">
      <c r="B31" s="103"/>
      <c r="C31" s="116"/>
      <c r="D31" s="35"/>
      <c r="E31" s="35"/>
      <c r="F31" s="35"/>
      <c r="G31" s="35"/>
      <c r="H31" s="108"/>
      <c r="I31" s="35"/>
      <c r="J31" s="106"/>
    </row>
    <row r="32" spans="2:14" ht="13.5" thickBot="1">
      <c r="B32" s="117"/>
      <c r="C32" s="118" t="s">
        <v>374</v>
      </c>
      <c r="D32" s="119"/>
      <c r="E32" s="119"/>
      <c r="F32" s="119"/>
      <c r="G32" s="119"/>
      <c r="H32" s="120">
        <f>+H30+H20</f>
        <v>2730025.0576204639</v>
      </c>
      <c r="I32" s="119"/>
      <c r="J32" s="121"/>
    </row>
    <row r="33" spans="2:10">
      <c r="B33" s="98"/>
      <c r="C33" s="122"/>
      <c r="D33" s="122"/>
      <c r="E33" s="122"/>
      <c r="F33" s="122"/>
      <c r="G33" s="122"/>
      <c r="H33" s="123"/>
      <c r="I33" s="99"/>
      <c r="J33" s="124"/>
    </row>
    <row r="34" spans="2:10" s="38" customFormat="1">
      <c r="B34" s="103"/>
      <c r="C34" s="110"/>
      <c r="D34" s="110"/>
      <c r="E34" s="110"/>
      <c r="F34" s="110"/>
      <c r="G34" s="110"/>
      <c r="H34" s="111"/>
      <c r="I34" s="35"/>
      <c r="J34" s="112"/>
    </row>
    <row r="35" spans="2:10">
      <c r="B35" s="103"/>
      <c r="C35" s="110" t="s">
        <v>159</v>
      </c>
      <c r="D35" s="110"/>
      <c r="E35" s="110"/>
      <c r="F35" s="110"/>
      <c r="G35" s="110"/>
      <c r="H35" s="111"/>
      <c r="I35" s="35"/>
      <c r="J35" s="106"/>
    </row>
    <row r="36" spans="2:10">
      <c r="B36" s="103"/>
      <c r="C36" s="35"/>
      <c r="D36" s="35"/>
      <c r="E36" s="35"/>
      <c r="F36" s="35"/>
      <c r="G36" s="35"/>
      <c r="H36" s="108"/>
      <c r="I36" s="35"/>
      <c r="J36" s="106"/>
    </row>
    <row r="37" spans="2:10">
      <c r="B37" s="103"/>
      <c r="C37" s="35"/>
      <c r="D37" s="35"/>
      <c r="E37" s="35"/>
      <c r="F37" s="35"/>
      <c r="G37" s="35"/>
      <c r="H37" s="108"/>
      <c r="I37" s="35"/>
      <c r="J37" s="106"/>
    </row>
    <row r="38" spans="2:10">
      <c r="B38" s="103"/>
      <c r="C38" s="35" t="s">
        <v>496</v>
      </c>
      <c r="D38" s="35"/>
      <c r="E38" s="35"/>
      <c r="F38" s="35"/>
      <c r="G38" s="35"/>
      <c r="H38" s="108">
        <v>3685761</v>
      </c>
      <c r="I38" s="35"/>
      <c r="J38" s="106"/>
    </row>
    <row r="39" spans="2:10">
      <c r="B39" s="103"/>
      <c r="C39" s="35"/>
      <c r="D39" s="35"/>
      <c r="E39" s="35"/>
      <c r="F39" s="35"/>
      <c r="G39" s="35"/>
      <c r="H39" s="108"/>
      <c r="I39" s="125"/>
      <c r="J39" s="106"/>
    </row>
    <row r="40" spans="2:10" ht="14.25">
      <c r="B40" s="103"/>
      <c r="C40" s="35" t="s">
        <v>158</v>
      </c>
      <c r="D40" s="40" t="str">
        <f>D17</f>
        <v>INPC DIC 20</v>
      </c>
      <c r="E40" s="24"/>
      <c r="F40" s="46">
        <f>F17</f>
        <v>122.515</v>
      </c>
      <c r="G40" s="35"/>
      <c r="H40" s="113">
        <f>TRUNC(F40/F41,4)</f>
        <v>1.0336000000000001</v>
      </c>
      <c r="I40" s="35"/>
      <c r="J40" s="106"/>
    </row>
    <row r="41" spans="2:10">
      <c r="B41" s="103"/>
      <c r="C41" s="35"/>
      <c r="D41" s="114" t="str">
        <f>D18</f>
        <v>INPC DIC 19</v>
      </c>
      <c r="E41" s="35"/>
      <c r="F41" s="126">
        <f>F18</f>
        <v>118.532</v>
      </c>
      <c r="G41" s="35"/>
      <c r="H41" s="108"/>
      <c r="I41" s="35"/>
      <c r="J41" s="106"/>
    </row>
    <row r="42" spans="2:10">
      <c r="B42" s="103"/>
      <c r="C42" s="35"/>
      <c r="D42" s="35"/>
      <c r="E42" s="35"/>
      <c r="F42" s="35"/>
      <c r="G42" s="35"/>
      <c r="H42" s="44"/>
      <c r="I42" s="35"/>
      <c r="J42" s="106"/>
    </row>
    <row r="43" spans="2:10" ht="13.5" thickBot="1">
      <c r="B43" s="117"/>
      <c r="C43" s="127" t="s">
        <v>497</v>
      </c>
      <c r="D43" s="119"/>
      <c r="E43" s="119"/>
      <c r="F43" s="119"/>
      <c r="G43" s="119"/>
      <c r="H43" s="120">
        <f>H38*H40</f>
        <v>3809602.5696</v>
      </c>
      <c r="I43" s="119"/>
      <c r="J43" s="121"/>
    </row>
    <row r="44" spans="2:10">
      <c r="H44" s="39"/>
    </row>
    <row r="45" spans="2:10">
      <c r="H45" s="39"/>
    </row>
    <row r="46" spans="2:10">
      <c r="H46" s="39"/>
    </row>
    <row r="47" spans="2:10" ht="14.25">
      <c r="B47" s="66"/>
      <c r="H47" s="39"/>
    </row>
    <row r="48" spans="2:10">
      <c r="H48" s="39"/>
    </row>
    <row r="49" spans="2:9">
      <c r="H49" s="39"/>
    </row>
    <row r="50" spans="2:9">
      <c r="H50" s="39"/>
    </row>
    <row r="51" spans="2:9">
      <c r="H51" s="39"/>
    </row>
    <row r="52" spans="2:9">
      <c r="H52" s="39"/>
    </row>
    <row r="53" spans="2:9">
      <c r="H53" s="39"/>
    </row>
    <row r="54" spans="2:9" ht="14.25">
      <c r="B54" s="66"/>
      <c r="C54" s="67"/>
      <c r="H54" s="39"/>
    </row>
    <row r="55" spans="2:9">
      <c r="H55" s="39"/>
    </row>
    <row r="56" spans="2:9">
      <c r="H56" s="39"/>
    </row>
    <row r="57" spans="2:9" ht="15.75">
      <c r="C57" s="573"/>
      <c r="D57" s="573"/>
      <c r="H57" s="39"/>
    </row>
    <row r="58" spans="2:9" ht="18">
      <c r="C58" s="574"/>
      <c r="D58" s="574"/>
      <c r="H58" s="39"/>
      <c r="I58" s="31"/>
    </row>
    <row r="59" spans="2:9" ht="15.75">
      <c r="C59" s="59"/>
      <c r="D59" s="30"/>
      <c r="H59" s="39"/>
    </row>
    <row r="60" spans="2:9">
      <c r="H60" s="39"/>
    </row>
    <row r="61" spans="2:9">
      <c r="H61" s="39"/>
    </row>
    <row r="62" spans="2:9">
      <c r="H62" s="39"/>
    </row>
    <row r="63" spans="2:9">
      <c r="H63" s="39"/>
    </row>
    <row r="64" spans="2:9">
      <c r="H64" s="39"/>
    </row>
    <row r="68" spans="8:9">
      <c r="I68" s="38"/>
    </row>
    <row r="69" spans="8:9" s="38" customFormat="1">
      <c r="H69" s="65"/>
      <c r="I69" s="32"/>
    </row>
    <row r="79" spans="8:9">
      <c r="I79" s="38"/>
    </row>
    <row r="80" spans="8:9" s="38" customFormat="1">
      <c r="H80" s="65"/>
      <c r="I80" s="32"/>
    </row>
    <row r="87" spans="7:9">
      <c r="I87" s="38"/>
    </row>
    <row r="88" spans="7:9" s="38" customFormat="1">
      <c r="H88" s="65"/>
      <c r="I88" s="32"/>
    </row>
    <row r="90" spans="7:9">
      <c r="G90" s="61"/>
    </row>
    <row r="91" spans="7:9">
      <c r="G91" s="61"/>
    </row>
    <row r="92" spans="7:9">
      <c r="G92" s="61"/>
    </row>
    <row r="94" spans="7:9">
      <c r="G94" s="61"/>
    </row>
    <row r="96" spans="7:9">
      <c r="I96" s="38"/>
    </row>
    <row r="97" spans="8:9" s="38" customFormat="1">
      <c r="H97" s="65"/>
      <c r="I97" s="32"/>
    </row>
    <row r="116" spans="8:9">
      <c r="I116" s="38"/>
    </row>
    <row r="117" spans="8:9" s="38" customFormat="1">
      <c r="H117" s="65"/>
      <c r="I117" s="32"/>
    </row>
  </sheetData>
  <mergeCells count="4">
    <mergeCell ref="C57:D57"/>
    <mergeCell ref="C58:D58"/>
    <mergeCell ref="C1:H1"/>
    <mergeCell ref="C2:H2"/>
  </mergeCells>
  <phoneticPr fontId="2" type="noConversion"/>
  <hyperlinks>
    <hyperlink ref="B5" location="INDICE!A16" display="INDICE"/>
    <hyperlink ref="I8" location="'Cédula 4'!C55" display="Cédula 4"/>
    <hyperlink ref="I9" location="'Cédula 4'!C57" display="Cédula 4"/>
    <hyperlink ref="I10" location="'Cédula 4'!C52" display="Cédula 4"/>
    <hyperlink ref="J9" location="'Cédula 1'!C40" display="'Cédula 1'!C40"/>
  </hyperlinks>
  <printOptions horizontalCentered="1" gridLines="1"/>
  <pageMargins left="0.25" right="0.25" top="0.75" bottom="0.75" header="0.3" footer="0.3"/>
  <pageSetup paperSize="119" scale="92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2">
    <pageSetUpPr fitToPage="1"/>
  </sheetPr>
  <dimension ref="B1:T43"/>
  <sheetViews>
    <sheetView showGridLines="0" zoomScale="110" zoomScaleNormal="110" zoomScaleSheetLayoutView="110" zoomScalePageLayoutView="110" workbookViewId="0"/>
  </sheetViews>
  <sheetFormatPr baseColWidth="10" defaultColWidth="17" defaultRowHeight="12.75"/>
  <cols>
    <col min="1" max="1" width="2.28515625" style="28" customWidth="1"/>
    <col min="2" max="2" width="30.42578125" style="28" customWidth="1"/>
    <col min="3" max="13" width="9" style="28" customWidth="1"/>
    <col min="14" max="14" width="12.85546875" style="28" bestFit="1" customWidth="1"/>
    <col min="15" max="15" width="9.7109375" style="167" customWidth="1"/>
    <col min="16" max="16" width="2.42578125" style="28" customWidth="1"/>
    <col min="17" max="17" width="9.7109375" style="28" customWidth="1"/>
    <col min="18" max="18" width="27.42578125" style="28" customWidth="1"/>
    <col min="19" max="19" width="23.42578125" style="28" customWidth="1"/>
    <col min="20" max="60" width="9.7109375" style="28" customWidth="1"/>
    <col min="61" max="16384" width="17" style="28"/>
  </cols>
  <sheetData>
    <row r="1" spans="2:20" ht="15.75">
      <c r="B1" s="575" t="s">
        <v>358</v>
      </c>
      <c r="C1" s="575"/>
      <c r="D1" s="575"/>
      <c r="E1" s="575"/>
      <c r="F1" s="575"/>
      <c r="G1" s="575"/>
      <c r="H1" s="575"/>
      <c r="I1" s="575"/>
      <c r="J1" s="575"/>
      <c r="K1" s="575"/>
      <c r="L1" s="575"/>
      <c r="M1" s="575"/>
      <c r="N1" s="575"/>
    </row>
    <row r="2" spans="2:20" ht="15.75">
      <c r="B2" s="575" t="s">
        <v>476</v>
      </c>
      <c r="C2" s="575"/>
      <c r="D2" s="575"/>
      <c r="E2" s="575"/>
      <c r="F2" s="575"/>
      <c r="G2" s="575"/>
      <c r="H2" s="575"/>
      <c r="I2" s="575"/>
      <c r="J2" s="575"/>
      <c r="K2" s="575"/>
      <c r="L2" s="575"/>
      <c r="M2" s="575"/>
      <c r="N2" s="575"/>
    </row>
    <row r="3" spans="2:20" ht="15.75">
      <c r="C3" s="68"/>
      <c r="N3" s="382" t="s">
        <v>308</v>
      </c>
    </row>
    <row r="4" spans="2:20">
      <c r="C4" s="68"/>
    </row>
    <row r="6" spans="2:20" ht="15" thickBot="1">
      <c r="B6" s="22" t="s">
        <v>223</v>
      </c>
    </row>
    <row r="7" spans="2:20">
      <c r="B7" s="576" t="s">
        <v>160</v>
      </c>
      <c r="C7" s="69" t="s">
        <v>161</v>
      </c>
      <c r="D7" s="69" t="s">
        <v>162</v>
      </c>
      <c r="E7" s="69" t="s">
        <v>163</v>
      </c>
      <c r="F7" s="69" t="s">
        <v>164</v>
      </c>
      <c r="G7" s="69" t="s">
        <v>165</v>
      </c>
      <c r="H7" s="69" t="s">
        <v>166</v>
      </c>
      <c r="I7" s="69" t="s">
        <v>167</v>
      </c>
      <c r="J7" s="69" t="s">
        <v>168</v>
      </c>
      <c r="K7" s="69" t="s">
        <v>169</v>
      </c>
      <c r="L7" s="69" t="s">
        <v>170</v>
      </c>
      <c r="M7" s="69" t="s">
        <v>171</v>
      </c>
      <c r="N7" s="70" t="s">
        <v>172</v>
      </c>
    </row>
    <row r="8" spans="2:20" ht="13.5" thickBot="1">
      <c r="B8" s="577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2"/>
    </row>
    <row r="9" spans="2:20" s="73" customFormat="1" ht="15.75" customHeight="1">
      <c r="B9" s="74" t="s">
        <v>173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6"/>
      <c r="O9" s="135"/>
    </row>
    <row r="10" spans="2:20" s="73" customFormat="1" ht="15.75" customHeight="1">
      <c r="B10" s="78" t="s">
        <v>174</v>
      </c>
      <c r="C10" s="137">
        <v>217000</v>
      </c>
      <c r="D10" s="137">
        <v>231800</v>
      </c>
      <c r="E10" s="137">
        <v>611100</v>
      </c>
      <c r="F10" s="137">
        <v>208700</v>
      </c>
      <c r="G10" s="137">
        <v>668300</v>
      </c>
      <c r="H10" s="137">
        <v>312900</v>
      </c>
      <c r="I10" s="137">
        <v>249400</v>
      </c>
      <c r="J10" s="137">
        <v>370100</v>
      </c>
      <c r="K10" s="137">
        <v>576500</v>
      </c>
      <c r="L10" s="137">
        <v>396800</v>
      </c>
      <c r="M10" s="137">
        <f>374960</f>
        <v>374960</v>
      </c>
      <c r="N10" s="138">
        <f>1002423-1839+5886+1303816+70+16</f>
        <v>2310372</v>
      </c>
      <c r="O10" s="135"/>
      <c r="S10" s="79"/>
    </row>
    <row r="11" spans="2:20" s="73" customFormat="1" ht="15.75" customHeight="1">
      <c r="B11" s="78" t="s">
        <v>175</v>
      </c>
      <c r="C11" s="137">
        <f>+C10</f>
        <v>217000</v>
      </c>
      <c r="D11" s="137">
        <f t="shared" ref="D11:N11" si="0">+D10+C11</f>
        <v>448800</v>
      </c>
      <c r="E11" s="137">
        <f t="shared" si="0"/>
        <v>1059900</v>
      </c>
      <c r="F11" s="137">
        <f t="shared" si="0"/>
        <v>1268600</v>
      </c>
      <c r="G11" s="137">
        <f t="shared" si="0"/>
        <v>1936900</v>
      </c>
      <c r="H11" s="137">
        <f t="shared" si="0"/>
        <v>2249800</v>
      </c>
      <c r="I11" s="137">
        <f t="shared" si="0"/>
        <v>2499200</v>
      </c>
      <c r="J11" s="137">
        <f t="shared" si="0"/>
        <v>2869300</v>
      </c>
      <c r="K11" s="137">
        <f t="shared" si="0"/>
        <v>3445800</v>
      </c>
      <c r="L11" s="137">
        <f t="shared" si="0"/>
        <v>3842600</v>
      </c>
      <c r="M11" s="137">
        <f t="shared" si="0"/>
        <v>4217560</v>
      </c>
      <c r="N11" s="138">
        <f t="shared" si="0"/>
        <v>6527932</v>
      </c>
      <c r="O11" s="135"/>
      <c r="R11" s="79"/>
      <c r="S11" s="79"/>
    </row>
    <row r="12" spans="2:20" s="73" customFormat="1" ht="15.75" customHeight="1">
      <c r="B12" s="80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2"/>
      <c r="O12" s="135"/>
      <c r="R12" s="79"/>
      <c r="S12" s="79"/>
    </row>
    <row r="13" spans="2:20" s="73" customFormat="1" ht="15.75" customHeight="1">
      <c r="B13" s="83" t="s">
        <v>176</v>
      </c>
      <c r="C13" s="139">
        <v>0.10100000000000001</v>
      </c>
      <c r="D13" s="139">
        <v>0.10100000000000001</v>
      </c>
      <c r="E13" s="139">
        <v>0.10100000000000001</v>
      </c>
      <c r="F13" s="139">
        <v>0.10100000000000001</v>
      </c>
      <c r="G13" s="139">
        <v>0.10100000000000001</v>
      </c>
      <c r="H13" s="139">
        <v>0.10100000000000001</v>
      </c>
      <c r="I13" s="139">
        <v>0.10100000000000001</v>
      </c>
      <c r="J13" s="139">
        <v>0.10100000000000001</v>
      </c>
      <c r="K13" s="139">
        <v>0.10100000000000001</v>
      </c>
      <c r="L13" s="139">
        <v>0.10100000000000001</v>
      </c>
      <c r="M13" s="139">
        <v>0.10100000000000001</v>
      </c>
      <c r="N13" s="527">
        <v>0.10100000000000001</v>
      </c>
      <c r="O13" s="135"/>
      <c r="R13" s="79"/>
      <c r="S13" s="79"/>
      <c r="T13" s="79"/>
    </row>
    <row r="14" spans="2:20" s="73" customFormat="1" ht="15.75" customHeight="1">
      <c r="B14" s="8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43"/>
      <c r="O14" s="135"/>
      <c r="R14" s="79"/>
    </row>
    <row r="15" spans="2:20" s="73" customFormat="1" ht="15.75" customHeight="1">
      <c r="B15" s="83" t="s">
        <v>177</v>
      </c>
      <c r="C15" s="141">
        <f t="shared" ref="C15:N15" si="1">+C11*C13</f>
        <v>21917</v>
      </c>
      <c r="D15" s="141">
        <f t="shared" si="1"/>
        <v>45328.800000000003</v>
      </c>
      <c r="E15" s="141">
        <f t="shared" si="1"/>
        <v>107049.90000000001</v>
      </c>
      <c r="F15" s="141">
        <f t="shared" si="1"/>
        <v>128128.6</v>
      </c>
      <c r="G15" s="141">
        <f t="shared" si="1"/>
        <v>195626.90000000002</v>
      </c>
      <c r="H15" s="141">
        <f t="shared" si="1"/>
        <v>227229.80000000002</v>
      </c>
      <c r="I15" s="141">
        <f t="shared" si="1"/>
        <v>252419.20000000001</v>
      </c>
      <c r="J15" s="141">
        <f t="shared" si="1"/>
        <v>289799.30000000005</v>
      </c>
      <c r="K15" s="141">
        <f t="shared" si="1"/>
        <v>348025.80000000005</v>
      </c>
      <c r="L15" s="141">
        <f t="shared" si="1"/>
        <v>388102.60000000003</v>
      </c>
      <c r="M15" s="141">
        <f t="shared" si="1"/>
        <v>425973.56000000006</v>
      </c>
      <c r="N15" s="142">
        <f t="shared" si="1"/>
        <v>659321.1320000001</v>
      </c>
      <c r="O15" s="135"/>
    </row>
    <row r="16" spans="2:20" s="73" customFormat="1" ht="15.75" customHeight="1">
      <c r="B16" s="78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8"/>
      <c r="O16" s="135"/>
    </row>
    <row r="17" spans="2:16" s="73" customFormat="1" ht="15.75" customHeight="1">
      <c r="B17" s="78" t="s">
        <v>354</v>
      </c>
      <c r="C17" s="137">
        <v>0</v>
      </c>
      <c r="D17" s="137">
        <v>0</v>
      </c>
      <c r="E17" s="137">
        <v>0</v>
      </c>
      <c r="F17" s="137">
        <v>0</v>
      </c>
      <c r="G17" s="137">
        <f>(D40/8)*1</f>
        <v>21875</v>
      </c>
      <c r="H17" s="137">
        <f>(D40/8)*2</f>
        <v>43750</v>
      </c>
      <c r="I17" s="137">
        <f>(D40/8)*3</f>
        <v>65625</v>
      </c>
      <c r="J17" s="137">
        <f>(D40/8)*4</f>
        <v>87500</v>
      </c>
      <c r="K17" s="137">
        <f>(D40/8)*5</f>
        <v>109375</v>
      </c>
      <c r="L17" s="137">
        <f>(D40/8)*6</f>
        <v>131250</v>
      </c>
      <c r="M17" s="137">
        <f>(D40/8)*7</f>
        <v>153125</v>
      </c>
      <c r="N17" s="138">
        <f>(D40/8)*8</f>
        <v>175000</v>
      </c>
      <c r="O17" s="529" t="s">
        <v>156</v>
      </c>
      <c r="P17" s="77"/>
    </row>
    <row r="18" spans="2:16" s="73" customFormat="1" ht="15.75" customHeight="1">
      <c r="B18" s="8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3"/>
      <c r="O18" s="135"/>
      <c r="P18" s="77"/>
    </row>
    <row r="19" spans="2:16" s="73" customFormat="1" ht="15.75" customHeight="1">
      <c r="B19" s="78" t="s">
        <v>178</v>
      </c>
      <c r="C19" s="137">
        <f t="shared" ref="C19:N19" si="2">+C15-C17</f>
        <v>21917</v>
      </c>
      <c r="D19" s="137">
        <f t="shared" si="2"/>
        <v>45328.800000000003</v>
      </c>
      <c r="E19" s="137">
        <f t="shared" si="2"/>
        <v>107049.90000000001</v>
      </c>
      <c r="F19" s="137">
        <f t="shared" si="2"/>
        <v>128128.6</v>
      </c>
      <c r="G19" s="137">
        <f t="shared" si="2"/>
        <v>173751.90000000002</v>
      </c>
      <c r="H19" s="137">
        <f t="shared" si="2"/>
        <v>183479.80000000002</v>
      </c>
      <c r="I19" s="137">
        <f t="shared" si="2"/>
        <v>186794.2</v>
      </c>
      <c r="J19" s="137">
        <f t="shared" si="2"/>
        <v>202299.30000000005</v>
      </c>
      <c r="K19" s="137">
        <f t="shared" si="2"/>
        <v>238650.80000000005</v>
      </c>
      <c r="L19" s="137">
        <f t="shared" si="2"/>
        <v>256852.60000000003</v>
      </c>
      <c r="M19" s="137">
        <f t="shared" si="2"/>
        <v>272848.56000000006</v>
      </c>
      <c r="N19" s="138">
        <f t="shared" si="2"/>
        <v>484321.1320000001</v>
      </c>
      <c r="O19" s="135"/>
      <c r="P19" s="77"/>
    </row>
    <row r="20" spans="2:16" s="73" customFormat="1" ht="15.75" customHeight="1">
      <c r="B20" s="78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8"/>
      <c r="O20" s="135"/>
      <c r="P20" s="77"/>
    </row>
    <row r="21" spans="2:16" s="73" customFormat="1" ht="15.75" customHeight="1">
      <c r="B21" s="78" t="s">
        <v>12</v>
      </c>
      <c r="C21" s="137">
        <f>('Cédula 15'!E19)/12</f>
        <v>0</v>
      </c>
      <c r="D21" s="137">
        <f>+C21*2</f>
        <v>0</v>
      </c>
      <c r="E21" s="137">
        <f>+C21*3</f>
        <v>0</v>
      </c>
      <c r="F21" s="137">
        <f>+C21*4</f>
        <v>0</v>
      </c>
      <c r="G21" s="137">
        <f>+C21*5</f>
        <v>0</v>
      </c>
      <c r="H21" s="137">
        <f>+C21*6</f>
        <v>0</v>
      </c>
      <c r="I21" s="137">
        <f>+C21*7</f>
        <v>0</v>
      </c>
      <c r="J21" s="137">
        <f>+C21*8</f>
        <v>0</v>
      </c>
      <c r="K21" s="137">
        <f>+C21*9</f>
        <v>0</v>
      </c>
      <c r="L21" s="137">
        <f>+C21*10</f>
        <v>0</v>
      </c>
      <c r="M21" s="137">
        <f>+C21*11</f>
        <v>0</v>
      </c>
      <c r="N21" s="138">
        <f>+C21*12</f>
        <v>0</v>
      </c>
      <c r="O21" s="529" t="s">
        <v>226</v>
      </c>
      <c r="P21" s="60">
        <v>4</v>
      </c>
    </row>
    <row r="22" spans="2:16" s="73" customFormat="1" ht="15.75" customHeight="1">
      <c r="B22" s="78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8"/>
      <c r="O22" s="135"/>
      <c r="P22" s="77"/>
    </row>
    <row r="23" spans="2:16" s="73" customFormat="1" ht="15.75" customHeight="1">
      <c r="B23" s="83" t="s">
        <v>179</v>
      </c>
      <c r="C23" s="141">
        <v>0</v>
      </c>
      <c r="D23" s="141">
        <v>0</v>
      </c>
      <c r="E23" s="141">
        <f>+IF((E19+E21)&gt;'Cédula 10'!$F$16,'Cédula 10'!$F$16,E19+E21)</f>
        <v>107049.90000000001</v>
      </c>
      <c r="F23" s="141">
        <f>+IF((F19+F21)&gt;'Cédula 10'!$F$16,'Cédula 10'!$F$16,F19+F21)</f>
        <v>128128.6</v>
      </c>
      <c r="G23" s="141">
        <f>+IF((G19+G21)&gt;'Cédula 10'!$F$16,'Cédula 10'!$F$16,G19+G21)</f>
        <v>173751.90000000002</v>
      </c>
      <c r="H23" s="141">
        <f>+IF((G19+G21)&gt;'Cédula 10'!$F$24,'Cédula 10'!$F$24,G19+G21)</f>
        <v>173751.90000000002</v>
      </c>
      <c r="I23" s="141">
        <f>+IF((G19+G21)&gt;'Cédula 10'!$F$24,'Cédula 10'!$F$24,G19+G21)</f>
        <v>173751.90000000002</v>
      </c>
      <c r="J23" s="141">
        <f>+IF((G19+G21)&gt;'Cédula 10'!$F$24,'Cédula 10'!$F$24,G19+G21)</f>
        <v>173751.90000000002</v>
      </c>
      <c r="K23" s="141">
        <f>+IF((G19+G21)&gt;'Cédula 10'!$F$24,'Cédula 10'!$F$24,G19+G21)</f>
        <v>173751.90000000002</v>
      </c>
      <c r="L23" s="141">
        <f>+IF((G19+G21)&gt;'Cédula 10'!$F$24,'Cédula 10'!$F$24,G19+G21)</f>
        <v>173751.90000000002</v>
      </c>
      <c r="M23" s="141">
        <f>+IF((G19+G21)&gt;'Cédula 10'!$F$24,'Cédula 10'!$F$24,G19+G21)</f>
        <v>173751.90000000002</v>
      </c>
      <c r="N23" s="142">
        <f>+IF((G19+G21)&gt;'Cédula 10'!$F$24,'Cédula 10'!$F$24,G19+G21)</f>
        <v>173751.90000000002</v>
      </c>
      <c r="O23" s="529" t="s">
        <v>212</v>
      </c>
      <c r="P23" s="77"/>
    </row>
    <row r="24" spans="2:16" s="73" customFormat="1" ht="15.75" customHeight="1">
      <c r="B24" s="8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3"/>
      <c r="O24" s="135"/>
      <c r="P24" s="77"/>
    </row>
    <row r="25" spans="2:16" s="73" customFormat="1" ht="15.75" customHeight="1">
      <c r="B25" s="83" t="s">
        <v>180</v>
      </c>
      <c r="C25" s="141">
        <f>IF((C19+C21-C23)&lt;0,0,C19+C21-C23)</f>
        <v>21917</v>
      </c>
      <c r="D25" s="141">
        <f t="shared" ref="D25:N25" si="3">IF((D19+D21-D23)&lt;0,0,D19+D21-D23)</f>
        <v>45328.800000000003</v>
      </c>
      <c r="E25" s="141">
        <f t="shared" si="3"/>
        <v>0</v>
      </c>
      <c r="F25" s="141">
        <f t="shared" si="3"/>
        <v>0</v>
      </c>
      <c r="G25" s="141">
        <f t="shared" si="3"/>
        <v>0</v>
      </c>
      <c r="H25" s="141">
        <f t="shared" si="3"/>
        <v>9727.8999999999942</v>
      </c>
      <c r="I25" s="141">
        <f t="shared" si="3"/>
        <v>13042.299999999988</v>
      </c>
      <c r="J25" s="141">
        <f t="shared" si="3"/>
        <v>28547.400000000023</v>
      </c>
      <c r="K25" s="141">
        <f t="shared" si="3"/>
        <v>64898.900000000023</v>
      </c>
      <c r="L25" s="141">
        <f t="shared" si="3"/>
        <v>83100.700000000012</v>
      </c>
      <c r="M25" s="141">
        <f t="shared" si="3"/>
        <v>99096.660000000033</v>
      </c>
      <c r="N25" s="142">
        <f t="shared" si="3"/>
        <v>310569.23200000008</v>
      </c>
      <c r="O25" s="135"/>
      <c r="P25" s="77"/>
    </row>
    <row r="26" spans="2:16" s="73" customFormat="1" ht="15.75" customHeight="1">
      <c r="B26" s="8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3"/>
      <c r="O26" s="135"/>
      <c r="P26" s="77"/>
    </row>
    <row r="27" spans="2:16" s="73" customFormat="1" ht="15.75" customHeight="1">
      <c r="B27" s="83" t="s">
        <v>181</v>
      </c>
      <c r="C27" s="144">
        <v>0.3</v>
      </c>
      <c r="D27" s="144">
        <v>0.3</v>
      </c>
      <c r="E27" s="144">
        <v>0.3</v>
      </c>
      <c r="F27" s="144">
        <v>0.3</v>
      </c>
      <c r="G27" s="144">
        <v>0.3</v>
      </c>
      <c r="H27" s="144">
        <v>0.3</v>
      </c>
      <c r="I27" s="144">
        <v>0.3</v>
      </c>
      <c r="J27" s="144">
        <v>0.3</v>
      </c>
      <c r="K27" s="144">
        <v>0.3</v>
      </c>
      <c r="L27" s="144">
        <v>0.3</v>
      </c>
      <c r="M27" s="144">
        <v>0.3</v>
      </c>
      <c r="N27" s="528">
        <v>0.3</v>
      </c>
      <c r="O27" s="135"/>
      <c r="P27" s="77"/>
    </row>
    <row r="28" spans="2:16" s="73" customFormat="1" ht="15.75" customHeight="1">
      <c r="B28" s="8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3"/>
      <c r="O28" s="135"/>
      <c r="P28" s="77"/>
    </row>
    <row r="29" spans="2:16" s="84" customFormat="1" ht="15.75" customHeight="1">
      <c r="B29" s="85" t="s">
        <v>182</v>
      </c>
      <c r="C29" s="145">
        <f t="shared" ref="C29:N29" si="4">C25*C27</f>
        <v>6575.0999999999995</v>
      </c>
      <c r="D29" s="145">
        <f t="shared" si="4"/>
        <v>13598.640000000001</v>
      </c>
      <c r="E29" s="145">
        <f t="shared" si="4"/>
        <v>0</v>
      </c>
      <c r="F29" s="145">
        <f t="shared" si="4"/>
        <v>0</v>
      </c>
      <c r="G29" s="145">
        <f t="shared" si="4"/>
        <v>0</v>
      </c>
      <c r="H29" s="145">
        <f t="shared" si="4"/>
        <v>2918.3699999999981</v>
      </c>
      <c r="I29" s="145">
        <f t="shared" si="4"/>
        <v>3912.6899999999964</v>
      </c>
      <c r="J29" s="145">
        <f t="shared" si="4"/>
        <v>8564.2200000000066</v>
      </c>
      <c r="K29" s="145">
        <f t="shared" si="4"/>
        <v>19469.670000000006</v>
      </c>
      <c r="L29" s="145">
        <f t="shared" si="4"/>
        <v>24930.210000000003</v>
      </c>
      <c r="M29" s="145">
        <f t="shared" si="4"/>
        <v>29728.998000000007</v>
      </c>
      <c r="N29" s="146">
        <f t="shared" si="4"/>
        <v>93170.769600000014</v>
      </c>
      <c r="O29" s="530" t="s">
        <v>215</v>
      </c>
      <c r="P29" s="86"/>
    </row>
    <row r="30" spans="2:16" s="73" customFormat="1" ht="15.75" customHeight="1">
      <c r="B30" s="80"/>
      <c r="C30" s="140"/>
      <c r="D30" s="140"/>
      <c r="E30" s="140"/>
      <c r="F30" s="140"/>
      <c r="G30" s="140"/>
      <c r="H30" s="140"/>
      <c r="I30" s="140"/>
      <c r="J30" s="140"/>
      <c r="K30" s="140"/>
      <c r="L30" s="140"/>
      <c r="M30" s="140"/>
      <c r="N30" s="143"/>
      <c r="O30" s="135"/>
      <c r="P30" s="77"/>
    </row>
    <row r="31" spans="2:16" s="73" customFormat="1" ht="15.75" customHeight="1">
      <c r="B31" s="83" t="s">
        <v>290</v>
      </c>
      <c r="C31" s="141">
        <v>0</v>
      </c>
      <c r="D31" s="141">
        <f>C35</f>
        <v>6320.0999999999995</v>
      </c>
      <c r="E31" s="141">
        <f>+SUM($C$35:D35)</f>
        <v>13003.640000000001</v>
      </c>
      <c r="F31" s="141">
        <f>+SUM($C$35:E35)</f>
        <v>13003.640000000001</v>
      </c>
      <c r="G31" s="141">
        <f>+SUM($C$35:F35)</f>
        <v>13003.640000000001</v>
      </c>
      <c r="H31" s="141">
        <f>+SUM($C$35:G35)</f>
        <v>13003.640000000001</v>
      </c>
      <c r="I31" s="141">
        <f>+SUM($C$35:H35)</f>
        <v>13003.640000000001</v>
      </c>
      <c r="J31" s="141">
        <f>+SUM($C$35:I35)</f>
        <v>13003.640000000001</v>
      </c>
      <c r="K31" s="141">
        <f>+SUM($C$35:J35)</f>
        <v>13003.640000000001</v>
      </c>
      <c r="L31" s="141">
        <f>+SUM($C$35:K35)</f>
        <v>14573.670000000006</v>
      </c>
      <c r="M31" s="141">
        <f>+SUM($C$35:L35)</f>
        <v>17909.210000000003</v>
      </c>
      <c r="N31" s="142">
        <f>+SUM($C$35:M35)</f>
        <v>21092.998000000007</v>
      </c>
      <c r="O31" s="529" t="s">
        <v>215</v>
      </c>
      <c r="P31" s="77"/>
    </row>
    <row r="32" spans="2:16" s="73" customFormat="1" ht="15.75" customHeight="1">
      <c r="B32" s="87" t="s">
        <v>291</v>
      </c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3"/>
      <c r="O32" s="531"/>
      <c r="P32" s="77"/>
    </row>
    <row r="33" spans="2:17" s="73" customFormat="1" ht="15.75" customHeight="1">
      <c r="B33" s="83" t="s">
        <v>296</v>
      </c>
      <c r="C33" s="137">
        <v>255</v>
      </c>
      <c r="D33" s="137">
        <v>595</v>
      </c>
      <c r="E33" s="137">
        <v>1700</v>
      </c>
      <c r="F33" s="137">
        <v>1904</v>
      </c>
      <c r="G33" s="137">
        <v>2210</v>
      </c>
      <c r="H33" s="137">
        <v>3485</v>
      </c>
      <c r="I33" s="137">
        <v>3876</v>
      </c>
      <c r="J33" s="137">
        <v>4352</v>
      </c>
      <c r="K33" s="137">
        <v>4896</v>
      </c>
      <c r="L33" s="137">
        <v>7021</v>
      </c>
      <c r="M33" s="137">
        <v>8636</v>
      </c>
      <c r="N33" s="138">
        <v>9129</v>
      </c>
      <c r="O33" s="529" t="s">
        <v>215</v>
      </c>
      <c r="P33" s="77"/>
    </row>
    <row r="34" spans="2:17" s="73" customFormat="1" ht="15.75" customHeight="1">
      <c r="B34" s="88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43"/>
      <c r="O34" s="531"/>
      <c r="P34" s="77"/>
    </row>
    <row r="35" spans="2:17" s="73" customFormat="1" ht="15.75" customHeight="1" thickBot="1">
      <c r="B35" s="89" t="s">
        <v>292</v>
      </c>
      <c r="C35" s="147">
        <f>+IF(C29&gt;SUM(C31:C33),C29-C31-C33,0)</f>
        <v>6320.0999999999995</v>
      </c>
      <c r="D35" s="147">
        <f>+IF(D29&gt;SUM(D31:D33),D29-D31-D33,0)</f>
        <v>6683.5400000000018</v>
      </c>
      <c r="E35" s="147">
        <f>+IF(E29&gt;SUM(E31:E33),E29-E31-E33,0)</f>
        <v>0</v>
      </c>
      <c r="F35" s="147">
        <f>+IF(F29&gt;SUM(F31:F33),F29-F31-F33,0)</f>
        <v>0</v>
      </c>
      <c r="G35" s="147">
        <f>+IF(G29&gt;SUM(G31:G33),G29-G31-G33,0)</f>
        <v>0</v>
      </c>
      <c r="H35" s="147">
        <f t="shared" ref="H35:N35" si="5">+IF(H29&gt;SUM(H31:H33),H29-H31-H33,0)</f>
        <v>0</v>
      </c>
      <c r="I35" s="147">
        <f t="shared" si="5"/>
        <v>0</v>
      </c>
      <c r="J35" s="147">
        <f t="shared" si="5"/>
        <v>0</v>
      </c>
      <c r="K35" s="147">
        <f t="shared" si="5"/>
        <v>1570.0300000000043</v>
      </c>
      <c r="L35" s="147">
        <f t="shared" si="5"/>
        <v>3335.5399999999972</v>
      </c>
      <c r="M35" s="147">
        <f t="shared" si="5"/>
        <v>3183.7880000000041</v>
      </c>
      <c r="N35" s="148">
        <f t="shared" si="5"/>
        <v>62948.771600000007</v>
      </c>
      <c r="O35" s="531">
        <f>SUM(C35:N35)</f>
        <v>84041.769600000014</v>
      </c>
      <c r="P35" s="77"/>
      <c r="Q35" s="79"/>
    </row>
    <row r="36" spans="2:17" s="73" customFormat="1" ht="15.75" customHeight="1">
      <c r="B36" s="86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135"/>
      <c r="P36" s="48"/>
    </row>
    <row r="37" spans="2:17" s="73" customFormat="1" ht="15.75" customHeight="1">
      <c r="B37" s="77"/>
      <c r="C37" s="47"/>
      <c r="D37" s="47"/>
      <c r="E37" s="47"/>
      <c r="F37" s="47"/>
      <c r="G37" s="47"/>
      <c r="H37" s="48"/>
      <c r="I37" s="48"/>
      <c r="J37" s="48"/>
      <c r="K37" s="48"/>
      <c r="L37" s="48"/>
      <c r="M37" s="48"/>
      <c r="N37" s="48"/>
      <c r="O37" s="531"/>
      <c r="P37" s="48"/>
    </row>
    <row r="38" spans="2:17" s="73" customFormat="1" ht="6" customHeight="1">
      <c r="B38" s="86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135"/>
      <c r="P38" s="48"/>
    </row>
    <row r="39" spans="2:17" s="73" customFormat="1" ht="14.25" customHeight="1">
      <c r="B39" s="90" t="s">
        <v>285</v>
      </c>
      <c r="C39" s="91"/>
      <c r="D39" s="2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531"/>
      <c r="P39" s="48"/>
    </row>
    <row r="40" spans="2:17" s="73" customFormat="1" ht="14.25" customHeight="1">
      <c r="B40" s="92" t="s">
        <v>284</v>
      </c>
      <c r="C40" s="26"/>
      <c r="D40" s="25">
        <v>175000</v>
      </c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135"/>
      <c r="P40" s="48"/>
    </row>
    <row r="41" spans="2:17"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516"/>
    </row>
    <row r="43" spans="2:17">
      <c r="C43" s="68"/>
    </row>
  </sheetData>
  <mergeCells count="3">
    <mergeCell ref="B1:N1"/>
    <mergeCell ref="B2:N2"/>
    <mergeCell ref="B7:B8"/>
  </mergeCells>
  <phoneticPr fontId="2" type="noConversion"/>
  <hyperlinks>
    <hyperlink ref="B6" location="INDICE!A17" display="INDICE"/>
    <hyperlink ref="O17" location="'Cédula 4'!C52" display="Cédula 4"/>
    <hyperlink ref="P21" location="'Cédula 4'!C16" display="'Cédula 4'!C16"/>
    <hyperlink ref="O23" location="'Cédula 10'!F24" display="Cédula 10"/>
    <hyperlink ref="O29" location="'Cédula 14'!E11" display="Cédula 14"/>
    <hyperlink ref="O31" location="'Cédula 14'!E12" display="Cédula 14"/>
    <hyperlink ref="O33" location="'Cédula 14'!E11" display="Cédula 14"/>
    <hyperlink ref="O21" location="'Cédula 15'!A1" display="Cédula 15"/>
  </hyperlinks>
  <printOptions horizontalCentered="1" gridLines="1"/>
  <pageMargins left="0.25" right="0.25" top="0.75" bottom="0.75" header="0.3" footer="0.3"/>
  <pageSetup paperSize="119" scale="82" firstPageNumber="0" orientation="landscape" horizontalDpi="300" vertic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B1:G31"/>
  <sheetViews>
    <sheetView showGridLines="0" zoomScaleSheetLayoutView="110" zoomScalePageLayoutView="110" workbookViewId="0">
      <selection activeCell="B24" sqref="B24"/>
    </sheetView>
  </sheetViews>
  <sheetFormatPr baseColWidth="10" defaultColWidth="11.42578125" defaultRowHeight="15"/>
  <cols>
    <col min="1" max="1" width="3.28515625" style="50" customWidth="1"/>
    <col min="2" max="2" width="17.140625" style="50" customWidth="1"/>
    <col min="3" max="3" width="13.42578125" style="50" customWidth="1"/>
    <col min="4" max="4" width="15.7109375" style="50" customWidth="1"/>
    <col min="5" max="5" width="8.85546875" style="50" customWidth="1"/>
    <col min="6" max="6" width="16.7109375" style="50" customWidth="1"/>
    <col min="7" max="7" width="3.7109375" style="50" customWidth="1"/>
    <col min="8" max="8" width="11.42578125" style="50" customWidth="1"/>
    <col min="9" max="16384" width="11.42578125" style="50"/>
  </cols>
  <sheetData>
    <row r="1" spans="2:6" ht="15.75">
      <c r="B1" s="573" t="s">
        <v>358</v>
      </c>
      <c r="C1" s="573"/>
      <c r="D1" s="573"/>
      <c r="E1" s="573"/>
      <c r="F1" s="573"/>
    </row>
    <row r="2" spans="2:6" ht="15.75">
      <c r="B2" s="578" t="s">
        <v>183</v>
      </c>
      <c r="C2" s="578"/>
      <c r="D2" s="578"/>
      <c r="E2" s="578"/>
      <c r="F2" s="578"/>
    </row>
    <row r="3" spans="2:6" ht="15.75">
      <c r="F3" s="382" t="s">
        <v>309</v>
      </c>
    </row>
    <row r="5" spans="2:6">
      <c r="B5" s="22" t="s">
        <v>223</v>
      </c>
    </row>
    <row r="7" spans="2:6" ht="15.75">
      <c r="B7" s="33" t="s">
        <v>477</v>
      </c>
    </row>
    <row r="9" spans="2:6">
      <c r="B9" s="50" t="s">
        <v>184</v>
      </c>
      <c r="F9" s="49">
        <v>422111</v>
      </c>
    </row>
    <row r="11" spans="2:6">
      <c r="B11" s="50" t="s">
        <v>185</v>
      </c>
    </row>
    <row r="12" spans="2:6">
      <c r="B12" s="50" t="s">
        <v>186</v>
      </c>
    </row>
    <row r="13" spans="2:6">
      <c r="B13" s="51" t="s">
        <v>479</v>
      </c>
      <c r="D13" s="52">
        <v>118.532</v>
      </c>
      <c r="F13" s="53">
        <f>TRUNC(D13/D14,4)</f>
        <v>1.0206999999999999</v>
      </c>
    </row>
    <row r="14" spans="2:6">
      <c r="B14" s="50" t="s">
        <v>480</v>
      </c>
      <c r="D14" s="50">
        <v>116.128</v>
      </c>
    </row>
    <row r="15" spans="2:6">
      <c r="F15" s="51"/>
    </row>
    <row r="16" spans="2:6" ht="15.75">
      <c r="B16" s="33" t="s">
        <v>478</v>
      </c>
      <c r="F16" s="49">
        <f>F9*F13</f>
        <v>430848.69769999996</v>
      </c>
    </row>
    <row r="19" spans="2:7">
      <c r="B19" s="50" t="s">
        <v>187</v>
      </c>
    </row>
    <row r="20" spans="2:7">
      <c r="B20" s="50" t="s">
        <v>186</v>
      </c>
    </row>
    <row r="21" spans="2:7">
      <c r="B21" s="51" t="s">
        <v>481</v>
      </c>
      <c r="D21" s="54">
        <v>118.901</v>
      </c>
      <c r="F21" s="55">
        <f>TRUNC(D21/D22,4)</f>
        <v>1.0031000000000001</v>
      </c>
    </row>
    <row r="22" spans="2:7">
      <c r="B22" s="50" t="str">
        <f>B13</f>
        <v>INPC Dic 2020</v>
      </c>
      <c r="D22" s="56">
        <v>118.532</v>
      </c>
    </row>
    <row r="23" spans="2:7">
      <c r="F23" s="51"/>
    </row>
    <row r="24" spans="2:7" s="33" customFormat="1" ht="15.75">
      <c r="B24" s="33" t="s">
        <v>482</v>
      </c>
      <c r="F24" s="57">
        <f>F16*F21</f>
        <v>432184.32866286999</v>
      </c>
    </row>
    <row r="25" spans="2:7">
      <c r="B25" s="58"/>
      <c r="F25" s="23" t="s">
        <v>156</v>
      </c>
      <c r="G25" s="23">
        <v>9</v>
      </c>
    </row>
    <row r="26" spans="2:7" ht="15.75">
      <c r="C26" s="573"/>
      <c r="D26" s="573"/>
    </row>
    <row r="27" spans="2:7" ht="15.75">
      <c r="C27" s="59"/>
      <c r="D27" s="59"/>
    </row>
    <row r="28" spans="2:7" ht="15.75">
      <c r="C28" s="30"/>
      <c r="D28" s="30"/>
    </row>
    <row r="31" spans="2:7" ht="18">
      <c r="F31" s="31"/>
    </row>
  </sheetData>
  <mergeCells count="3">
    <mergeCell ref="B1:F1"/>
    <mergeCell ref="B2:F2"/>
    <mergeCell ref="C26:D26"/>
  </mergeCells>
  <phoneticPr fontId="2" type="noConversion"/>
  <hyperlinks>
    <hyperlink ref="B5" location="INDICE!A18" display="INDICE"/>
    <hyperlink ref="F25" location="'Cédula 4'!E60" display="Cédula 4"/>
    <hyperlink ref="G25" location="'Cédula 9'!N25" display="'Cédula 9'!N25"/>
  </hyperlinks>
  <printOptions horizontalCentered="1" gridLines="1"/>
  <pageMargins left="0.25" right="0.25" top="0.75" bottom="0.75" header="0.3" footer="0.3"/>
  <pageSetup paperSize="119" firstPageNumber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pageSetUpPr fitToPage="1"/>
  </sheetPr>
  <dimension ref="B1:G37"/>
  <sheetViews>
    <sheetView showGridLines="0" zoomScaleSheetLayoutView="110" zoomScalePageLayoutView="110" workbookViewId="0">
      <selection activeCell="B30" sqref="B30"/>
    </sheetView>
  </sheetViews>
  <sheetFormatPr baseColWidth="10" defaultColWidth="11.42578125" defaultRowHeight="15"/>
  <cols>
    <col min="1" max="1" width="2.7109375" style="273" customWidth="1"/>
    <col min="2" max="2" width="35.42578125" style="273" customWidth="1"/>
    <col min="3" max="3" width="19.42578125" style="273" customWidth="1"/>
    <col min="4" max="5" width="14.42578125" style="286" customWidth="1"/>
    <col min="6" max="6" width="9.140625" style="274" bestFit="1" customWidth="1"/>
    <col min="7" max="7" width="3.42578125" style="274" customWidth="1"/>
    <col min="8" max="16384" width="11.42578125" style="273"/>
  </cols>
  <sheetData>
    <row r="1" spans="2:7" s="270" customFormat="1" ht="15.75">
      <c r="B1" s="555" t="s">
        <v>358</v>
      </c>
      <c r="C1" s="555"/>
      <c r="D1" s="555"/>
      <c r="E1" s="555"/>
      <c r="G1" s="271"/>
    </row>
    <row r="2" spans="2:7" s="270" customFormat="1" ht="15.75">
      <c r="B2" s="555" t="s">
        <v>188</v>
      </c>
      <c r="C2" s="555"/>
      <c r="D2" s="555"/>
      <c r="E2" s="555"/>
      <c r="G2" s="271"/>
    </row>
    <row r="3" spans="2:7" s="270" customFormat="1" ht="15.75">
      <c r="B3" s="555" t="s">
        <v>189</v>
      </c>
      <c r="C3" s="555"/>
      <c r="D3" s="555"/>
      <c r="E3" s="555"/>
      <c r="G3" s="271"/>
    </row>
    <row r="4" spans="2:7" s="270" customFormat="1" ht="15.75">
      <c r="B4" s="272"/>
      <c r="C4" s="272"/>
      <c r="D4" s="272"/>
      <c r="E4" s="382" t="s">
        <v>310</v>
      </c>
      <c r="G4" s="271"/>
    </row>
    <row r="5" spans="2:7" s="270" customFormat="1" ht="15" customHeight="1">
      <c r="B5" s="149" t="s">
        <v>223</v>
      </c>
      <c r="C5" s="272"/>
      <c r="D5" s="272"/>
      <c r="E5" s="272"/>
      <c r="G5" s="271"/>
    </row>
    <row r="6" spans="2:7" ht="6" customHeight="1"/>
    <row r="7" spans="2:7" ht="22.35" customHeight="1">
      <c r="B7" s="270" t="s">
        <v>190</v>
      </c>
      <c r="C7" s="270"/>
      <c r="D7" s="272" t="s">
        <v>191</v>
      </c>
    </row>
    <row r="8" spans="2:7">
      <c r="B8" s="273" t="s">
        <v>192</v>
      </c>
      <c r="D8" s="275">
        <v>44389</v>
      </c>
    </row>
    <row r="9" spans="2:7">
      <c r="B9" s="273" t="s">
        <v>193</v>
      </c>
      <c r="D9" s="275">
        <v>43393</v>
      </c>
    </row>
    <row r="10" spans="2:7">
      <c r="B10" s="273" t="s">
        <v>483</v>
      </c>
      <c r="C10" s="276"/>
      <c r="D10" s="287">
        <v>0.25</v>
      </c>
      <c r="E10" s="173"/>
    </row>
    <row r="11" spans="2:7">
      <c r="C11" s="276"/>
      <c r="D11" s="288"/>
      <c r="E11" s="173"/>
    </row>
    <row r="12" spans="2:7">
      <c r="B12" s="273" t="s">
        <v>194</v>
      </c>
      <c r="C12" s="276"/>
      <c r="D12" s="288"/>
      <c r="E12" s="289">
        <f>IF(175000&lt;E13,E13-175000,0)</f>
        <v>0</v>
      </c>
    </row>
    <row r="13" spans="2:7">
      <c r="B13" s="273" t="s">
        <v>195</v>
      </c>
      <c r="C13" s="276"/>
      <c r="D13" s="289"/>
      <c r="E13" s="289">
        <v>125000</v>
      </c>
    </row>
    <row r="14" spans="2:7">
      <c r="C14" s="276"/>
      <c r="D14" s="173"/>
      <c r="E14" s="173"/>
    </row>
    <row r="15" spans="2:7" ht="15.75">
      <c r="B15" s="270" t="s">
        <v>196</v>
      </c>
      <c r="C15" s="276"/>
      <c r="D15" s="173"/>
      <c r="E15" s="173"/>
    </row>
    <row r="16" spans="2:7">
      <c r="B16" s="273" t="s">
        <v>365</v>
      </c>
      <c r="C16" s="297">
        <v>2</v>
      </c>
      <c r="D16" s="289">
        <f>((E13*0.25)/12)*2</f>
        <v>5208.333333333333</v>
      </c>
      <c r="E16" s="289"/>
    </row>
    <row r="17" spans="2:7">
      <c r="B17" s="273" t="s">
        <v>484</v>
      </c>
      <c r="C17" s="297">
        <v>12</v>
      </c>
      <c r="D17" s="289">
        <f>((E13*0.25)/12)*12</f>
        <v>31250</v>
      </c>
      <c r="E17" s="289"/>
    </row>
    <row r="18" spans="2:7">
      <c r="B18" s="273" t="s">
        <v>485</v>
      </c>
      <c r="C18" s="297">
        <v>12</v>
      </c>
      <c r="D18" s="289">
        <f>((E13*0.25)/12)*12</f>
        <v>31250</v>
      </c>
      <c r="E18" s="289"/>
    </row>
    <row r="19" spans="2:7">
      <c r="B19" s="273" t="s">
        <v>486</v>
      </c>
      <c r="C19" s="297">
        <v>12</v>
      </c>
      <c r="D19" s="290">
        <f>((E13*0.25)/12)*12</f>
        <v>31250</v>
      </c>
      <c r="E19" s="290">
        <f>SUM(D16:D19)</f>
        <v>98958.333333333343</v>
      </c>
    </row>
    <row r="20" spans="2:7" s="270" customFormat="1" ht="15.75">
      <c r="B20" s="270" t="s">
        <v>234</v>
      </c>
      <c r="C20" s="297"/>
      <c r="D20" s="291"/>
      <c r="E20" s="291">
        <f>E13-E19</f>
        <v>26041.666666666657</v>
      </c>
      <c r="F20" s="150" t="s">
        <v>203</v>
      </c>
      <c r="G20" s="271"/>
    </row>
    <row r="21" spans="2:7" s="270" customFormat="1" ht="15.75">
      <c r="C21" s="297"/>
      <c r="D21" s="291"/>
      <c r="E21" s="291"/>
      <c r="F21" s="150"/>
      <c r="G21" s="271"/>
    </row>
    <row r="22" spans="2:7" s="270" customFormat="1" ht="15.75">
      <c r="B22" s="273" t="s">
        <v>487</v>
      </c>
      <c r="C22" s="297">
        <v>6</v>
      </c>
      <c r="D22" s="290">
        <f>'Cédula 6'!K17</f>
        <v>15625</v>
      </c>
      <c r="E22" s="290">
        <f>SUM(D16:D22)</f>
        <v>114583.33333333334</v>
      </c>
      <c r="G22" s="271"/>
    </row>
    <row r="23" spans="2:7" s="270" customFormat="1" ht="15.75">
      <c r="B23" s="270" t="s">
        <v>235</v>
      </c>
      <c r="C23" s="276"/>
      <c r="D23" s="153" t="s">
        <v>48</v>
      </c>
      <c r="E23" s="291">
        <f>E13-E22</f>
        <v>10416.666666666657</v>
      </c>
      <c r="F23" s="150"/>
      <c r="G23" s="271"/>
    </row>
    <row r="24" spans="2:7">
      <c r="C24" s="276"/>
      <c r="D24" s="289"/>
      <c r="E24" s="289"/>
    </row>
    <row r="25" spans="2:7" ht="15.75">
      <c r="B25" s="272" t="s">
        <v>197</v>
      </c>
      <c r="C25" s="276"/>
      <c r="D25" s="289"/>
      <c r="E25" s="289"/>
    </row>
    <row r="26" spans="2:7">
      <c r="B26" s="280" t="s">
        <v>375</v>
      </c>
      <c r="C26" s="277"/>
      <c r="D26" s="292">
        <v>119.681</v>
      </c>
      <c r="E26" s="293">
        <f>TRUNC(D26/D27,4)</f>
        <v>1.1261000000000001</v>
      </c>
      <c r="F26" s="281"/>
    </row>
    <row r="27" spans="2:7" ht="15.75">
      <c r="B27" s="282" t="s">
        <v>376</v>
      </c>
      <c r="C27" s="279"/>
      <c r="D27" s="294">
        <v>106.27800000000001</v>
      </c>
      <c r="E27" s="289"/>
    </row>
    <row r="28" spans="2:7">
      <c r="C28" s="276"/>
      <c r="D28" s="289"/>
      <c r="E28" s="295"/>
    </row>
    <row r="29" spans="2:7" s="270" customFormat="1" ht="15.75">
      <c r="B29" s="270" t="s">
        <v>348</v>
      </c>
      <c r="C29" s="278"/>
      <c r="D29" s="291"/>
      <c r="E29" s="291">
        <f>+E20*E26</f>
        <v>29325.520833333325</v>
      </c>
      <c r="F29" s="150" t="s">
        <v>203</v>
      </c>
      <c r="G29" s="283"/>
    </row>
    <row r="30" spans="2:7">
      <c r="C30" s="276"/>
      <c r="D30" s="289"/>
      <c r="E30" s="289"/>
      <c r="F30" s="284"/>
      <c r="G30" s="284"/>
    </row>
    <row r="31" spans="2:7" s="270" customFormat="1" ht="15.75">
      <c r="B31" s="270" t="s">
        <v>198</v>
      </c>
      <c r="C31" s="278"/>
      <c r="D31" s="291"/>
      <c r="E31" s="291">
        <v>47331</v>
      </c>
      <c r="F31" s="150"/>
      <c r="G31" s="283"/>
    </row>
    <row r="32" spans="2:7" ht="15.75">
      <c r="C32" s="278"/>
      <c r="D32" s="291"/>
      <c r="E32" s="289"/>
      <c r="F32" s="284"/>
      <c r="G32" s="284"/>
    </row>
    <row r="33" spans="2:7" s="270" customFormat="1" ht="15.75">
      <c r="B33" s="270" t="s">
        <v>199</v>
      </c>
      <c r="C33" s="278"/>
      <c r="D33" s="291"/>
      <c r="E33" s="291">
        <f>E31-E23</f>
        <v>36914.333333333343</v>
      </c>
      <c r="F33" s="150"/>
      <c r="G33" s="150" t="s">
        <v>233</v>
      </c>
    </row>
    <row r="34" spans="2:7" s="270" customFormat="1" ht="15.75">
      <c r="C34" s="276"/>
      <c r="D34" s="289"/>
      <c r="E34" s="291"/>
      <c r="F34" s="283"/>
      <c r="G34" s="283"/>
    </row>
    <row r="35" spans="2:7" s="270" customFormat="1" ht="15.75">
      <c r="B35" s="270" t="s">
        <v>200</v>
      </c>
      <c r="C35" s="269"/>
      <c r="D35" s="296"/>
      <c r="E35" s="291">
        <f>E31-E29</f>
        <v>18005.479166666675</v>
      </c>
      <c r="F35" s="150" t="s">
        <v>156</v>
      </c>
      <c r="G35" s="150"/>
    </row>
    <row r="36" spans="2:7">
      <c r="C36" s="269"/>
      <c r="D36" s="296"/>
      <c r="E36" s="153" t="s">
        <v>232</v>
      </c>
      <c r="F36" s="284"/>
      <c r="G36" s="284"/>
    </row>
    <row r="37" spans="2:7" ht="18">
      <c r="C37" s="276"/>
      <c r="D37" s="289"/>
      <c r="E37" s="289"/>
      <c r="F37" s="285"/>
      <c r="G37" s="284"/>
    </row>
  </sheetData>
  <mergeCells count="3">
    <mergeCell ref="B1:E1"/>
    <mergeCell ref="B2:E2"/>
    <mergeCell ref="B3:E3"/>
  </mergeCells>
  <phoneticPr fontId="2" type="noConversion"/>
  <hyperlinks>
    <hyperlink ref="B5" location="INDICE!A19" display="INDICE"/>
    <hyperlink ref="F35" location="'Cédula 4'!E17" display="Cédula 4"/>
    <hyperlink ref="F29" location="'Cédula 12'!D8" display="Cédula 12"/>
    <hyperlink ref="F20" location="'Cédula 12'!D17" display="Cédula 12"/>
    <hyperlink ref="E36" location="'Cédula 4 1'!C15" display="Cédula 4 1"/>
    <hyperlink ref="G33" location="'Cédula 4 1'!C46" display="4 1"/>
    <hyperlink ref="D23" location="'Cédula 6'!K20" display="Cédula 6"/>
  </hyperlinks>
  <printOptions horizontalCentered="1" gridLines="1"/>
  <pageMargins left="0.25" right="0.25" top="0.75" bottom="0.75" header="0.3" footer="0.3"/>
  <pageSetup paperSize="119" firstPageNumber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pageSetUpPr fitToPage="1"/>
  </sheetPr>
  <dimension ref="B1:I34"/>
  <sheetViews>
    <sheetView showGridLines="0" zoomScaleNormal="100" zoomScaleSheetLayoutView="110" zoomScalePageLayoutView="110" workbookViewId="0">
      <selection activeCell="D6" sqref="D6"/>
    </sheetView>
  </sheetViews>
  <sheetFormatPr baseColWidth="10" defaultColWidth="11.42578125" defaultRowHeight="15.75"/>
  <cols>
    <col min="1" max="1" width="1.7109375" style="496" customWidth="1"/>
    <col min="2" max="2" width="9.42578125" style="495" customWidth="1"/>
    <col min="3" max="3" width="39.140625" style="496" bestFit="1" customWidth="1"/>
    <col min="4" max="4" width="11.42578125" style="497" bestFit="1" customWidth="1"/>
    <col min="5" max="5" width="13.140625" style="177" bestFit="1" customWidth="1"/>
    <col min="6" max="6" width="15.28515625" style="497" customWidth="1"/>
    <col min="7" max="8" width="12.42578125" style="496" bestFit="1" customWidth="1"/>
    <col min="9" max="16384" width="11.42578125" style="496"/>
  </cols>
  <sheetData>
    <row r="1" spans="2:9" s="495" customFormat="1" ht="20.25" customHeight="1">
      <c r="B1" s="579" t="s">
        <v>358</v>
      </c>
      <c r="C1" s="579"/>
      <c r="D1" s="579"/>
      <c r="E1" s="513"/>
      <c r="F1" s="500"/>
      <c r="G1" s="495" t="s">
        <v>327</v>
      </c>
    </row>
    <row r="2" spans="2:9" s="495" customFormat="1" ht="20.25" customHeight="1">
      <c r="B2" s="579" t="s">
        <v>488</v>
      </c>
      <c r="C2" s="579"/>
      <c r="D2" s="579"/>
      <c r="E2" s="513"/>
      <c r="F2" s="500"/>
      <c r="G2" s="497">
        <f>'Cédula 1'!E13</f>
        <v>5518750</v>
      </c>
      <c r="H2" s="497" t="s">
        <v>259</v>
      </c>
      <c r="I2" s="496"/>
    </row>
    <row r="3" spans="2:9" s="495" customFormat="1">
      <c r="B3" s="312"/>
      <c r="C3" s="312"/>
      <c r="D3" s="312"/>
      <c r="E3" s="382" t="s">
        <v>311</v>
      </c>
      <c r="F3" s="500"/>
      <c r="G3" s="497">
        <f>'Cédula 1'!C34</f>
        <v>706427.22033333336</v>
      </c>
      <c r="H3" s="497" t="s">
        <v>323</v>
      </c>
      <c r="I3" s="496"/>
    </row>
    <row r="4" spans="2:9" s="495" customFormat="1">
      <c r="B4" s="312"/>
      <c r="C4" s="312"/>
      <c r="D4" s="312"/>
      <c r="E4" s="514"/>
      <c r="F4" s="500"/>
      <c r="G4" s="497">
        <f>'Cédula 1'!C36</f>
        <v>302754.52299999999</v>
      </c>
      <c r="H4" s="497" t="s">
        <v>324</v>
      </c>
      <c r="I4" s="496"/>
    </row>
    <row r="5" spans="2:9" ht="15">
      <c r="B5" s="149" t="s">
        <v>223</v>
      </c>
      <c r="D5" s="515"/>
      <c r="E5" s="513"/>
      <c r="G5" s="497">
        <f>-'Cédula 4'!C41</f>
        <v>-36914.333333333343</v>
      </c>
      <c r="H5" s="497" t="s">
        <v>325</v>
      </c>
    </row>
    <row r="6" spans="2:9" s="276" customFormat="1" ht="22.35" customHeight="1">
      <c r="B6" s="278"/>
      <c r="C6" s="276" t="s">
        <v>201</v>
      </c>
      <c r="D6" s="289">
        <f>'Cédula 1'!E13+'Cédula 1'!C34+'Cédula 1'!C36-'Cédula 4'!C41+'Cédula 4'!C9</f>
        <v>7228158.5051666666</v>
      </c>
      <c r="E6" s="153" t="s">
        <v>286</v>
      </c>
      <c r="G6" s="277">
        <f>+'Cédula 4'!C9</f>
        <v>737141.09516666655</v>
      </c>
      <c r="H6" s="277" t="s">
        <v>326</v>
      </c>
    </row>
    <row r="7" spans="2:9" s="276" customFormat="1" ht="22.35" customHeight="1">
      <c r="B7" s="278"/>
      <c r="C7" s="276" t="s">
        <v>319</v>
      </c>
      <c r="D7" s="289">
        <v>59857</v>
      </c>
      <c r="E7" s="516"/>
      <c r="F7" s="510"/>
      <c r="G7" s="277"/>
    </row>
    <row r="8" spans="2:9" s="276" customFormat="1" ht="22.35" customHeight="1">
      <c r="B8" s="278" t="s">
        <v>157</v>
      </c>
      <c r="C8" s="276" t="s">
        <v>204</v>
      </c>
      <c r="D8" s="290">
        <f>+'Cédula 1'!E21+'Cédula 1'!E24+'Cédula 1'!E26+'Cédula 1'!C35+'Cédula 1'!C37+'Cédula 1'!E41+'Cédula 4'!C28-'Cédula 4'!C17</f>
        <v>4485680.0020833332</v>
      </c>
      <c r="E8" s="516"/>
      <c r="F8" s="510"/>
      <c r="G8" s="517" t="s">
        <v>322</v>
      </c>
      <c r="H8" s="518">
        <f>SUM(G2:G7)</f>
        <v>7228158.5051666666</v>
      </c>
    </row>
    <row r="9" spans="2:9" s="276" customFormat="1" ht="22.35" customHeight="1">
      <c r="B9" s="278"/>
      <c r="C9" s="276" t="s">
        <v>206</v>
      </c>
      <c r="D9" s="289">
        <f>+D6-D7-D8</f>
        <v>2682621.5030833334</v>
      </c>
      <c r="E9" s="519"/>
      <c r="F9" s="510"/>
      <c r="H9" s="277"/>
    </row>
    <row r="10" spans="2:9" s="276" customFormat="1" ht="22.35" customHeight="1">
      <c r="B10" s="278"/>
      <c r="C10" s="276" t="s">
        <v>320</v>
      </c>
      <c r="D10" s="532">
        <v>0.1</v>
      </c>
      <c r="E10" s="303"/>
      <c r="F10" s="520"/>
      <c r="G10" s="278" t="s">
        <v>328</v>
      </c>
      <c r="H10" s="277"/>
    </row>
    <row r="11" spans="2:9" s="278" customFormat="1" ht="22.35" customHeight="1">
      <c r="C11" s="278" t="s">
        <v>377</v>
      </c>
      <c r="D11" s="289">
        <f>+D9*D10</f>
        <v>268262.15030833334</v>
      </c>
      <c r="E11" s="279"/>
      <c r="F11" s="520"/>
      <c r="G11" s="521">
        <f>'Cédula 1'!E21</f>
        <v>50000</v>
      </c>
      <c r="H11" s="521" t="s">
        <v>329</v>
      </c>
      <c r="I11" s="522"/>
    </row>
    <row r="12" spans="2:9" s="276" customFormat="1" ht="22.35" customHeight="1">
      <c r="B12" s="278"/>
      <c r="D12" s="445"/>
      <c r="E12" s="269"/>
      <c r="F12" s="510"/>
      <c r="G12" s="521">
        <f>'Cédula 1'!E24</f>
        <v>2640000</v>
      </c>
      <c r="H12" s="521" t="s">
        <v>330</v>
      </c>
      <c r="I12" s="523"/>
    </row>
    <row r="13" spans="2:9" s="276" customFormat="1" ht="22.35" customHeight="1">
      <c r="B13" s="278"/>
      <c r="D13" s="445"/>
      <c r="E13" s="303"/>
      <c r="F13" s="520"/>
      <c r="G13" s="521">
        <f>'Cédula 1'!E26</f>
        <v>1672366.3333333335</v>
      </c>
      <c r="H13" s="521" t="s">
        <v>331</v>
      </c>
      <c r="I13" s="523"/>
    </row>
    <row r="14" spans="2:9" s="278" customFormat="1" ht="22.35" customHeight="1">
      <c r="D14" s="269"/>
      <c r="E14" s="279"/>
      <c r="F14" s="279"/>
      <c r="G14" s="521">
        <f>+'Cédula 1'!C35</f>
        <v>293480</v>
      </c>
      <c r="H14" s="521" t="s">
        <v>332</v>
      </c>
      <c r="I14" s="523"/>
    </row>
    <row r="15" spans="2:9">
      <c r="E15" s="255"/>
      <c r="G15" s="521">
        <f>'Cédula 1'!C37</f>
        <v>750</v>
      </c>
      <c r="H15" s="521" t="s">
        <v>333</v>
      </c>
      <c r="I15" s="523"/>
    </row>
    <row r="16" spans="2:9" s="278" customFormat="1" ht="22.35" customHeight="1">
      <c r="D16" s="269"/>
      <c r="E16" s="279"/>
      <c r="F16" s="279"/>
      <c r="G16" s="521">
        <f>+'Cédula 1'!C41</f>
        <v>710991</v>
      </c>
      <c r="H16" s="521" t="s">
        <v>334</v>
      </c>
      <c r="I16" s="523"/>
    </row>
    <row r="17" spans="3:9">
      <c r="E17" s="255"/>
      <c r="G17" s="497">
        <f>-'Cédula 4'!C17</f>
        <v>-3820619.3333333335</v>
      </c>
      <c r="H17" s="496" t="s">
        <v>335</v>
      </c>
    </row>
    <row r="18" spans="3:9" s="278" customFormat="1" ht="22.35" customHeight="1">
      <c r="D18" s="150"/>
      <c r="E18" s="475"/>
      <c r="F18" s="510"/>
      <c r="G18" s="277">
        <f>'Cédula 4'!C28</f>
        <v>2938712.0020833332</v>
      </c>
      <c r="H18" s="277" t="s">
        <v>336</v>
      </c>
      <c r="I18" s="276"/>
    </row>
    <row r="19" spans="3:9">
      <c r="E19" s="153"/>
      <c r="F19" s="510"/>
      <c r="G19" s="524" t="s">
        <v>322</v>
      </c>
      <c r="H19" s="525">
        <f>SUM(G11:G18)</f>
        <v>4485680.0020833332</v>
      </c>
    </row>
    <row r="25" spans="3:9">
      <c r="C25" s="269"/>
      <c r="E25" s="176"/>
    </row>
    <row r="26" spans="3:9">
      <c r="C26" s="269"/>
      <c r="E26" s="176"/>
    </row>
    <row r="27" spans="3:9">
      <c r="C27" s="269"/>
      <c r="E27" s="176"/>
    </row>
    <row r="28" spans="3:9">
      <c r="D28" s="499"/>
      <c r="E28" s="176"/>
    </row>
    <row r="29" spans="3:9">
      <c r="C29" s="269"/>
      <c r="E29" s="176"/>
    </row>
    <row r="30" spans="3:9">
      <c r="C30" s="269"/>
      <c r="E30" s="176"/>
    </row>
    <row r="31" spans="3:9">
      <c r="C31" s="269"/>
      <c r="D31" s="526"/>
      <c r="E31" s="176"/>
    </row>
    <row r="32" spans="3:9">
      <c r="C32" s="269"/>
      <c r="D32" s="499"/>
      <c r="E32" s="176"/>
    </row>
    <row r="33" spans="3:5">
      <c r="C33" s="269"/>
      <c r="E33" s="176"/>
    </row>
    <row r="34" spans="3:5">
      <c r="E34" s="176"/>
    </row>
  </sheetData>
  <mergeCells count="2">
    <mergeCell ref="B1:D1"/>
    <mergeCell ref="B2:D2"/>
  </mergeCells>
  <phoneticPr fontId="2" type="noConversion"/>
  <hyperlinks>
    <hyperlink ref="B5" location="INDICE!A20" display="INDICE"/>
    <hyperlink ref="E6" location="'Cédula 13'!D7" display="Cédula 13"/>
  </hyperlinks>
  <printOptions horizontalCentered="1" gridLines="1"/>
  <pageMargins left="0.25" right="0.25" top="0.75" bottom="0.75" header="0.3" footer="0.3"/>
  <pageSetup paperSize="119" firstPageNumber="0" orientation="portrait" horizontalDpi="300" verticalDpi="300" r:id="rId1"/>
  <headerFooter alignWithMargins="0"/>
  <colBreaks count="1" manualBreakCount="1">
    <brk id="5" max="23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pageSetUpPr fitToPage="1"/>
  </sheetPr>
  <dimension ref="A1:L32"/>
  <sheetViews>
    <sheetView showGridLines="0" zoomScaleSheetLayoutView="110" zoomScalePageLayoutView="110" workbookViewId="0">
      <selection activeCell="D7" sqref="D7"/>
    </sheetView>
  </sheetViews>
  <sheetFormatPr baseColWidth="10" defaultColWidth="11.42578125" defaultRowHeight="15"/>
  <cols>
    <col min="1" max="1" width="7" style="496" bestFit="1" customWidth="1"/>
    <col min="2" max="2" width="10.42578125" style="496" customWidth="1"/>
    <col min="3" max="3" width="39.42578125" style="496" customWidth="1"/>
    <col min="4" max="4" width="14.5703125" style="497" bestFit="1" customWidth="1"/>
    <col min="5" max="5" width="2.7109375" style="497" customWidth="1"/>
    <col min="6" max="6" width="19.140625" style="497" customWidth="1"/>
    <col min="7" max="7" width="10.42578125" style="497" customWidth="1"/>
    <col min="8" max="16384" width="11.42578125" style="496"/>
  </cols>
  <sheetData>
    <row r="1" spans="1:12" s="269" customFormat="1" ht="15.75">
      <c r="B1" s="579" t="s">
        <v>358</v>
      </c>
      <c r="C1" s="579"/>
      <c r="D1" s="579"/>
      <c r="E1" s="579"/>
      <c r="F1" s="579"/>
      <c r="G1" s="505"/>
      <c r="H1" s="176"/>
    </row>
    <row r="2" spans="1:12" s="269" customFormat="1" ht="15.75">
      <c r="B2" s="579" t="s">
        <v>490</v>
      </c>
      <c r="C2" s="579"/>
      <c r="D2" s="579"/>
      <c r="E2" s="579"/>
      <c r="F2" s="579"/>
      <c r="G2" s="505"/>
      <c r="H2" s="176"/>
    </row>
    <row r="3" spans="1:12" s="269" customFormat="1" ht="15.75">
      <c r="B3" s="579" t="s">
        <v>475</v>
      </c>
      <c r="C3" s="579"/>
      <c r="D3" s="579"/>
      <c r="E3" s="579"/>
      <c r="F3" s="579"/>
      <c r="G3" s="505"/>
      <c r="H3" s="176"/>
    </row>
    <row r="4" spans="1:12" s="269" customFormat="1" ht="15.75">
      <c r="B4" s="506"/>
      <c r="C4" s="506"/>
      <c r="D4" s="506"/>
      <c r="E4" s="176"/>
      <c r="F4" s="382" t="s">
        <v>312</v>
      </c>
      <c r="G4" s="176"/>
    </row>
    <row r="5" spans="1:12" s="269" customFormat="1" ht="12.75"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</row>
    <row r="6" spans="1:12" ht="23.25" customHeight="1">
      <c r="A6" s="149" t="s">
        <v>223</v>
      </c>
    </row>
    <row r="7" spans="1:12" ht="23.25" customHeight="1">
      <c r="C7" s="496" t="s">
        <v>207</v>
      </c>
      <c r="D7" s="507">
        <f>'Cédula 12'!D6-'Cédula 15'!E19</f>
        <v>7228158.5051666666</v>
      </c>
      <c r="F7" s="150" t="s">
        <v>203</v>
      </c>
    </row>
    <row r="8" spans="1:12" ht="23.25" customHeight="1">
      <c r="B8" s="496" t="s">
        <v>157</v>
      </c>
      <c r="C8" s="496" t="s">
        <v>208</v>
      </c>
      <c r="D8" s="507">
        <f>'Cédula 5'!G41</f>
        <v>0</v>
      </c>
      <c r="F8" s="150" t="s">
        <v>227</v>
      </c>
    </row>
    <row r="9" spans="1:12" s="495" customFormat="1" ht="23.25" customHeight="1">
      <c r="C9" s="495" t="s">
        <v>209</v>
      </c>
      <c r="D9" s="508">
        <f>D7-D8</f>
        <v>7228158.5051666666</v>
      </c>
      <c r="E9" s="500"/>
      <c r="F9" s="500"/>
      <c r="G9" s="500"/>
    </row>
    <row r="10" spans="1:12" ht="23.25" customHeight="1"/>
    <row r="11" spans="1:12" ht="23.25" customHeight="1">
      <c r="B11" s="558" t="s">
        <v>489</v>
      </c>
      <c r="C11" s="558"/>
      <c r="D11" s="558"/>
      <c r="E11" s="558"/>
      <c r="F11" s="558"/>
      <c r="G11" s="558"/>
    </row>
    <row r="12" spans="1:12" s="276" customFormat="1" ht="16.5" customHeight="1">
      <c r="D12" s="277"/>
      <c r="E12" s="277"/>
      <c r="F12" s="277"/>
      <c r="G12" s="277"/>
    </row>
    <row r="13" spans="1:12" s="276" customFormat="1" ht="16.5" customHeight="1">
      <c r="B13" s="580" t="s">
        <v>225</v>
      </c>
      <c r="C13" s="562" t="s">
        <v>359</v>
      </c>
      <c r="D13" s="562"/>
      <c r="E13" s="562"/>
      <c r="F13" s="562"/>
      <c r="G13" s="432"/>
    </row>
    <row r="14" spans="1:12" s="276" customFormat="1" ht="16.5" customHeight="1">
      <c r="B14" s="580"/>
      <c r="C14" s="564" t="s">
        <v>209</v>
      </c>
      <c r="D14" s="564"/>
      <c r="E14" s="564"/>
      <c r="F14" s="564"/>
      <c r="G14" s="432"/>
    </row>
    <row r="15" spans="1:12" s="276" customFormat="1" ht="16.5" customHeight="1">
      <c r="D15" s="289"/>
      <c r="E15" s="289"/>
      <c r="F15" s="432"/>
      <c r="G15" s="432"/>
    </row>
    <row r="16" spans="1:12" s="276" customFormat="1" ht="16.5" customHeight="1">
      <c r="B16" s="580" t="s">
        <v>225</v>
      </c>
      <c r="C16" s="509">
        <f>+'Cédula 4'!C53-'Cédula 15'!E19</f>
        <v>2567478.5030833338</v>
      </c>
      <c r="D16" s="432"/>
      <c r="E16" s="432"/>
      <c r="F16" s="510"/>
    </row>
    <row r="17" spans="2:7" ht="16.5" customHeight="1">
      <c r="B17" s="580"/>
      <c r="C17" s="411">
        <f>D9</f>
        <v>7228158.5051666666</v>
      </c>
      <c r="D17" s="269"/>
      <c r="F17" s="510"/>
    </row>
    <row r="18" spans="2:7" ht="23.25" customHeight="1">
      <c r="C18" s="496" t="s">
        <v>210</v>
      </c>
      <c r="F18" s="511">
        <f>TRUNC(C16/C17,4)</f>
        <v>0.35520000000000002</v>
      </c>
      <c r="G18" s="512"/>
    </row>
    <row r="19" spans="2:7" ht="23.25" customHeight="1"/>
    <row r="28" spans="2:7" s="276" customFormat="1" ht="16.5" customHeight="1">
      <c r="D28" s="277"/>
      <c r="E28" s="277"/>
      <c r="F28" s="277"/>
      <c r="G28" s="277"/>
    </row>
    <row r="29" spans="2:7" s="276" customFormat="1" ht="16.5" customHeight="1">
      <c r="D29" s="277"/>
      <c r="E29" s="277"/>
      <c r="F29" s="277"/>
      <c r="G29" s="277"/>
    </row>
    <row r="30" spans="2:7" s="276" customFormat="1" ht="16.5" customHeight="1">
      <c r="D30" s="277"/>
      <c r="E30" s="277"/>
      <c r="F30" s="277"/>
      <c r="G30" s="277"/>
    </row>
    <row r="31" spans="2:7" s="276" customFormat="1" ht="16.5" customHeight="1">
      <c r="D31" s="277"/>
      <c r="E31" s="277"/>
      <c r="F31" s="277"/>
      <c r="G31" s="277"/>
    </row>
    <row r="32" spans="2:7" s="276" customFormat="1" ht="16.5" customHeight="1">
      <c r="D32" s="277"/>
      <c r="E32" s="277"/>
      <c r="F32" s="277"/>
      <c r="G32" s="277"/>
    </row>
  </sheetData>
  <mergeCells count="8">
    <mergeCell ref="B3:F3"/>
    <mergeCell ref="B2:F2"/>
    <mergeCell ref="B1:F1"/>
    <mergeCell ref="B16:B17"/>
    <mergeCell ref="B13:B14"/>
    <mergeCell ref="B11:G11"/>
    <mergeCell ref="C14:F14"/>
    <mergeCell ref="C13:F13"/>
  </mergeCells>
  <phoneticPr fontId="2" type="noConversion"/>
  <hyperlinks>
    <hyperlink ref="A6" location="INDICE!A21" display="INDICE"/>
    <hyperlink ref="F7" location="'Cédula 12'!D6" display="Cédula 12"/>
    <hyperlink ref="F8" location="'Cédula 5'!G42" display="Cédula 5"/>
  </hyperlinks>
  <printOptions horizontalCentered="1" gridLines="1"/>
  <pageMargins left="0.25" right="0.25" top="0.75" bottom="0.75" header="0.3" footer="0.3"/>
  <pageSetup paperSize="119" firstPageNumber="0" orientation="landscape" horizontalDpi="300" verticalDpi="300" r:id="rId1"/>
  <headerFooter alignWithMargins="0"/>
  <colBreaks count="1" manualBreakCount="1">
    <brk id="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pageSetUpPr fitToPage="1"/>
  </sheetPr>
  <dimension ref="B1:L22"/>
  <sheetViews>
    <sheetView showGridLines="0" zoomScaleSheetLayoutView="110" zoomScalePageLayoutView="110" workbookViewId="0">
      <selection activeCell="E10" sqref="E10"/>
    </sheetView>
  </sheetViews>
  <sheetFormatPr baseColWidth="10" defaultColWidth="11.42578125" defaultRowHeight="15"/>
  <cols>
    <col min="1" max="1" width="3.28515625" style="276" customWidth="1"/>
    <col min="2" max="4" width="17.85546875" style="276" customWidth="1"/>
    <col min="5" max="5" width="18" style="276" customWidth="1"/>
    <col min="6" max="6" width="14.140625" style="537" bestFit="1" customWidth="1"/>
    <col min="7" max="7" width="2.85546875" style="276" customWidth="1"/>
    <col min="8" max="11" width="11.42578125" style="276"/>
    <col min="12" max="12" width="44.7109375" style="288" bestFit="1" customWidth="1"/>
    <col min="13" max="16384" width="11.42578125" style="276"/>
  </cols>
  <sheetData>
    <row r="1" spans="2:12" ht="15.75">
      <c r="B1" s="558" t="s">
        <v>358</v>
      </c>
      <c r="C1" s="558"/>
      <c r="D1" s="558"/>
      <c r="E1" s="558"/>
      <c r="F1" s="558"/>
    </row>
    <row r="2" spans="2:12" s="278" customFormat="1" ht="14.85" customHeight="1">
      <c r="B2" s="558" t="s">
        <v>230</v>
      </c>
      <c r="C2" s="558"/>
      <c r="D2" s="558"/>
      <c r="E2" s="558"/>
      <c r="F2" s="558"/>
      <c r="L2" s="498"/>
    </row>
    <row r="3" spans="2:12" s="278" customFormat="1" ht="16.350000000000001" customHeight="1">
      <c r="B3" s="558" t="s">
        <v>474</v>
      </c>
      <c r="C3" s="558"/>
      <c r="D3" s="558"/>
      <c r="E3" s="558"/>
      <c r="F3" s="558"/>
      <c r="L3" s="498"/>
    </row>
    <row r="4" spans="2:12" s="278" customFormat="1" ht="15.75">
      <c r="F4" s="382" t="s">
        <v>313</v>
      </c>
      <c r="L4" s="498"/>
    </row>
    <row r="6" spans="2:12">
      <c r="B6" s="389" t="s">
        <v>223</v>
      </c>
    </row>
    <row r="7" spans="2:12" ht="6" customHeight="1"/>
    <row r="8" spans="2:12" ht="15.75">
      <c r="B8" s="278" t="s">
        <v>211</v>
      </c>
    </row>
    <row r="9" spans="2:12">
      <c r="L9" s="548"/>
    </row>
    <row r="10" spans="2:12" ht="20.25" customHeight="1">
      <c r="B10" s="276" t="s">
        <v>54</v>
      </c>
      <c r="E10" s="548">
        <f>'Cédula 1'!C41</f>
        <v>710991</v>
      </c>
      <c r="F10" s="153" t="s">
        <v>156</v>
      </c>
      <c r="G10" s="510">
        <v>1</v>
      </c>
      <c r="L10" s="548"/>
    </row>
    <row r="11" spans="2:12" ht="20.25" customHeight="1">
      <c r="B11" s="276" t="s">
        <v>7</v>
      </c>
      <c r="E11" s="548">
        <f>-'Cédula 9'!O35</f>
        <v>-84041.769600000014</v>
      </c>
      <c r="F11" s="153" t="s">
        <v>224</v>
      </c>
      <c r="G11" s="437"/>
      <c r="J11" s="533"/>
      <c r="K11" s="547"/>
      <c r="L11" s="548"/>
    </row>
    <row r="12" spans="2:12" ht="20.25" customHeight="1" thickBot="1">
      <c r="B12" s="276" t="s">
        <v>213</v>
      </c>
      <c r="E12" s="549">
        <f>-'Cédula 9'!N33</f>
        <v>-9129</v>
      </c>
      <c r="F12" s="153" t="s">
        <v>224</v>
      </c>
      <c r="G12" s="437"/>
      <c r="J12" s="533"/>
      <c r="L12" s="548"/>
    </row>
    <row r="13" spans="2:12" ht="6.75" customHeight="1">
      <c r="E13" s="534"/>
      <c r="F13" s="153"/>
      <c r="G13" s="437"/>
      <c r="L13" s="548"/>
    </row>
    <row r="14" spans="2:12" ht="16.5" customHeight="1">
      <c r="B14" s="276" t="s">
        <v>214</v>
      </c>
      <c r="E14" s="550">
        <f>SUM(E10:E12)</f>
        <v>617820.2304</v>
      </c>
      <c r="F14" s="538"/>
      <c r="L14" s="548"/>
    </row>
    <row r="15" spans="2:12">
      <c r="E15" s="535"/>
      <c r="L15" s="548"/>
    </row>
    <row r="16" spans="2:12">
      <c r="E16" s="536"/>
      <c r="L16" s="548"/>
    </row>
    <row r="18" ht="16.5" customHeight="1"/>
    <row r="19" ht="16.5" customHeight="1"/>
    <row r="20" ht="16.5" customHeight="1"/>
    <row r="21" ht="16.5" customHeight="1"/>
    <row r="22" ht="16.5" customHeight="1"/>
  </sheetData>
  <mergeCells count="3">
    <mergeCell ref="B1:F1"/>
    <mergeCell ref="B2:F2"/>
    <mergeCell ref="B3:F3"/>
  </mergeCells>
  <phoneticPr fontId="2" type="noConversion"/>
  <hyperlinks>
    <hyperlink ref="B6" location="INDICE!A22" display="INDICE"/>
    <hyperlink ref="F10" location="'Cédula 4'!C57" display="Cédula 4"/>
    <hyperlink ref="F11:F12" location="'Cédula 4'!E19" display="Cédula 4"/>
    <hyperlink ref="F11" location="'Cédula 9'!N35" display="Cédula 9"/>
    <hyperlink ref="F12" location="'Cédula 9'!N33" display="Cédula 9"/>
    <hyperlink ref="G10" location="'Cédula 1'!C40" display="'Cédula 1'!C40"/>
  </hyperlinks>
  <printOptions horizontalCentered="1" gridLines="1"/>
  <pageMargins left="0.25" right="0.25" top="0.75" bottom="0.75" header="0.3" footer="0.3"/>
  <pageSetup paperSize="119" firstPageNumber="0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pageSetUpPr fitToPage="1"/>
  </sheetPr>
  <dimension ref="B1:G32"/>
  <sheetViews>
    <sheetView showGridLines="0" zoomScaleNormal="100" zoomScaleSheetLayoutView="110" zoomScalePageLayoutView="110" workbookViewId="0"/>
  </sheetViews>
  <sheetFormatPr baseColWidth="10" defaultColWidth="11.42578125" defaultRowHeight="12.75"/>
  <cols>
    <col min="1" max="1" width="7.42578125" style="32" customWidth="1"/>
    <col min="2" max="3" width="11.42578125" style="32" customWidth="1"/>
    <col min="4" max="4" width="34.42578125" style="32" customWidth="1"/>
    <col min="5" max="5" width="13.85546875" style="32" customWidth="1"/>
    <col min="6" max="6" width="11.42578125" style="128" customWidth="1"/>
    <col min="7" max="7" width="3.85546875" style="32" customWidth="1"/>
    <col min="8" max="16384" width="11.42578125" style="32"/>
  </cols>
  <sheetData>
    <row r="1" spans="2:7" ht="15.75">
      <c r="B1" s="573" t="s">
        <v>358</v>
      </c>
      <c r="C1" s="573"/>
      <c r="D1" s="573"/>
      <c r="E1" s="573"/>
      <c r="F1" s="573"/>
    </row>
    <row r="2" spans="2:7" ht="15.75">
      <c r="B2" s="578" t="s">
        <v>353</v>
      </c>
      <c r="C2" s="578"/>
      <c r="D2" s="578"/>
      <c r="E2" s="578"/>
      <c r="F2" s="578"/>
    </row>
    <row r="3" spans="2:7" ht="15.75">
      <c r="E3" s="382" t="s">
        <v>314</v>
      </c>
    </row>
    <row r="4" spans="2:7">
      <c r="B4" s="38"/>
    </row>
    <row r="5" spans="2:7" ht="14.25">
      <c r="B5" s="22" t="s">
        <v>223</v>
      </c>
    </row>
    <row r="7" spans="2:7">
      <c r="C7" s="32" t="s">
        <v>355</v>
      </c>
      <c r="E7" s="34">
        <v>19927490</v>
      </c>
    </row>
    <row r="8" spans="2:7">
      <c r="E8" s="34"/>
    </row>
    <row r="9" spans="2:7">
      <c r="C9" s="32" t="s">
        <v>216</v>
      </c>
      <c r="E9" s="34">
        <v>0</v>
      </c>
    </row>
    <row r="10" spans="2:7">
      <c r="E10" s="34"/>
    </row>
    <row r="11" spans="2:7">
      <c r="C11" s="32" t="s">
        <v>217</v>
      </c>
      <c r="E11" s="34">
        <f>1200000</f>
        <v>1200000</v>
      </c>
    </row>
    <row r="12" spans="2:7" s="29" customFormat="1" ht="16.5" customHeight="1">
      <c r="E12" s="93"/>
      <c r="F12" s="129"/>
    </row>
    <row r="13" spans="2:7" s="29" customFormat="1" ht="16.5" customHeight="1">
      <c r="C13" s="29" t="s">
        <v>218</v>
      </c>
      <c r="E13" s="93">
        <v>0</v>
      </c>
      <c r="F13" s="129"/>
    </row>
    <row r="14" spans="2:7" s="29" customFormat="1" ht="16.5" customHeight="1">
      <c r="E14" s="94"/>
      <c r="F14" s="129"/>
    </row>
    <row r="15" spans="2:7" s="29" customFormat="1" ht="16.5" customHeight="1">
      <c r="C15" s="29" t="s">
        <v>219</v>
      </c>
      <c r="E15" s="93">
        <f>+E7-E11</f>
        <v>18727490</v>
      </c>
      <c r="F15" s="129"/>
      <c r="G15" s="93"/>
    </row>
    <row r="16" spans="2:7" s="29" customFormat="1" ht="16.5" customHeight="1">
      <c r="E16" s="93"/>
      <c r="F16" s="129"/>
    </row>
    <row r="17" spans="3:7">
      <c r="C17" s="32" t="s">
        <v>220</v>
      </c>
      <c r="E17" s="43">
        <v>3.8399999999999997E-2</v>
      </c>
    </row>
    <row r="18" spans="3:7">
      <c r="E18" s="37"/>
    </row>
    <row r="19" spans="3:7" ht="14.25">
      <c r="C19" s="32" t="s">
        <v>221</v>
      </c>
      <c r="E19" s="36">
        <v>0</v>
      </c>
      <c r="F19" s="62" t="s">
        <v>156</v>
      </c>
      <c r="G19" s="60">
        <v>9</v>
      </c>
    </row>
    <row r="20" spans="3:7" ht="14.25">
      <c r="E20" s="62"/>
      <c r="F20" s="130"/>
      <c r="G20" s="35"/>
    </row>
    <row r="21" spans="3:7">
      <c r="C21" s="32" t="s">
        <v>356</v>
      </c>
    </row>
    <row r="22" spans="3:7">
      <c r="C22" s="32" t="s">
        <v>357</v>
      </c>
    </row>
    <row r="24" spans="3:7" ht="15.75">
      <c r="C24" s="32" t="s">
        <v>351</v>
      </c>
      <c r="D24" s="95"/>
      <c r="E24" s="95"/>
    </row>
    <row r="25" spans="3:7" ht="15.75">
      <c r="D25" s="96"/>
      <c r="E25" s="96"/>
    </row>
    <row r="26" spans="3:7" ht="15.75">
      <c r="D26" s="30"/>
      <c r="E26" s="30"/>
    </row>
    <row r="28" spans="3:7" s="29" customFormat="1" ht="16.5" customHeight="1">
      <c r="F28" s="129"/>
    </row>
    <row r="29" spans="3:7" s="29" customFormat="1" ht="16.5" customHeight="1">
      <c r="F29" s="97"/>
    </row>
    <row r="30" spans="3:7" s="29" customFormat="1" ht="16.5" customHeight="1">
      <c r="F30" s="129"/>
    </row>
    <row r="31" spans="3:7" s="29" customFormat="1" ht="16.5" customHeight="1">
      <c r="F31" s="129"/>
    </row>
    <row r="32" spans="3:7" s="29" customFormat="1" ht="16.5" customHeight="1">
      <c r="F32" s="129"/>
    </row>
  </sheetData>
  <mergeCells count="2">
    <mergeCell ref="B1:F1"/>
    <mergeCell ref="B2:F2"/>
  </mergeCells>
  <phoneticPr fontId="2" type="noConversion"/>
  <hyperlinks>
    <hyperlink ref="B5" location="INDICE!A23" display="INDICE"/>
    <hyperlink ref="F19" location="'Cédula 4'!C16" display="Cédula 4"/>
    <hyperlink ref="G19" location="'Cédula 9'!N23" display="'Cédula 9'!N23"/>
  </hyperlinks>
  <printOptions horizontalCentered="1" gridLines="1"/>
  <pageMargins left="0.25" right="0.25" top="0.75" bottom="0.75" header="0.3" footer="0.3"/>
  <pageSetup paperSize="119" firstPageNumber="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Q31"/>
  <sheetViews>
    <sheetView zoomScaleNormal="100" zoomScaleSheetLayoutView="100" workbookViewId="0">
      <selection activeCell="F18" sqref="F18"/>
    </sheetView>
  </sheetViews>
  <sheetFormatPr baseColWidth="10" defaultColWidth="9.140625" defaultRowHeight="15.75"/>
  <cols>
    <col min="1" max="1" width="8.85546875" style="8" customWidth="1"/>
    <col min="2" max="2" width="8.28515625" style="9" bestFit="1" customWidth="1"/>
    <col min="3" max="14" width="18.7109375" style="8" customWidth="1"/>
    <col min="15" max="15" width="12.85546875" style="1" customWidth="1"/>
    <col min="16" max="16384" width="9.140625" style="1"/>
  </cols>
  <sheetData>
    <row r="1" spans="1:17" s="3" customFormat="1" ht="12.75">
      <c r="A1" s="4"/>
      <c r="B1" s="5"/>
      <c r="C1" s="6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7" s="3" customFormat="1" ht="12.75">
      <c r="A2" s="4"/>
      <c r="B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7" s="3" customFormat="1" ht="12.75">
      <c r="A3" s="4"/>
      <c r="B3" s="5"/>
      <c r="C3" s="6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7" s="3" customFormat="1">
      <c r="A4" s="4"/>
      <c r="B4" s="5"/>
      <c r="C4" s="7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7" s="3" customFormat="1" ht="12.75">
      <c r="A5" s="4"/>
      <c r="B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7">
      <c r="C6" s="6" t="s">
        <v>297</v>
      </c>
    </row>
    <row r="7" spans="1:17" ht="16.5" thickBot="1"/>
    <row r="8" spans="1:17" ht="16.5" thickBot="1">
      <c r="B8" s="10" t="s">
        <v>241</v>
      </c>
      <c r="C8" s="10" t="s">
        <v>242</v>
      </c>
      <c r="D8" s="10" t="s">
        <v>243</v>
      </c>
      <c r="E8" s="10" t="s">
        <v>244</v>
      </c>
      <c r="F8" s="10" t="s">
        <v>245</v>
      </c>
      <c r="G8" s="10" t="s">
        <v>246</v>
      </c>
      <c r="H8" s="10" t="s">
        <v>247</v>
      </c>
      <c r="I8" s="10" t="s">
        <v>248</v>
      </c>
      <c r="J8" s="10" t="s">
        <v>249</v>
      </c>
      <c r="K8" s="10" t="s">
        <v>250</v>
      </c>
      <c r="L8" s="10" t="s">
        <v>251</v>
      </c>
      <c r="M8" s="10" t="s">
        <v>252</v>
      </c>
      <c r="N8" s="10" t="s">
        <v>253</v>
      </c>
    </row>
    <row r="9" spans="1:17" ht="16.5" thickBot="1">
      <c r="B9" s="10">
        <v>2015</v>
      </c>
      <c r="C9" s="19">
        <v>115.95399999999999</v>
      </c>
      <c r="D9" s="19">
        <v>116.17400000000001</v>
      </c>
      <c r="E9" s="19">
        <v>116.64700000000001</v>
      </c>
      <c r="F9" s="19">
        <v>116.345</v>
      </c>
      <c r="G9" s="19">
        <v>115.764</v>
      </c>
      <c r="H9" s="19">
        <v>115.958</v>
      </c>
      <c r="I9" s="19">
        <v>116.128</v>
      </c>
      <c r="J9" s="19">
        <v>116.373</v>
      </c>
      <c r="K9" s="19">
        <v>116.809</v>
      </c>
      <c r="L9" s="19">
        <v>117.41</v>
      </c>
      <c r="M9" s="19">
        <v>118.051</v>
      </c>
      <c r="N9" s="19">
        <v>118.532</v>
      </c>
    </row>
    <row r="10" spans="1:17" ht="16.5" thickBot="1">
      <c r="B10" s="10">
        <v>2014</v>
      </c>
      <c r="C10" s="19">
        <v>112.505</v>
      </c>
      <c r="D10" s="19">
        <v>112.79</v>
      </c>
      <c r="E10" s="19">
        <v>113.099</v>
      </c>
      <c r="F10" s="19">
        <v>112.88800000000001</v>
      </c>
      <c r="G10" s="19">
        <v>112.527</v>
      </c>
      <c r="H10" s="19">
        <v>112.72199999999999</v>
      </c>
      <c r="I10" s="19">
        <v>113.032</v>
      </c>
      <c r="J10" s="19">
        <v>113.438</v>
      </c>
      <c r="K10" s="19">
        <v>113.93899999999999</v>
      </c>
      <c r="L10" s="19">
        <v>114.569</v>
      </c>
      <c r="M10" s="19">
        <v>115.49299999999999</v>
      </c>
      <c r="N10" s="19">
        <v>116.059</v>
      </c>
    </row>
    <row r="11" spans="1:17" ht="16.5" thickBot="1">
      <c r="B11" s="10">
        <v>2013</v>
      </c>
      <c r="C11" s="19">
        <v>107.678</v>
      </c>
      <c r="D11" s="19">
        <v>108.208</v>
      </c>
      <c r="E11" s="19">
        <v>109.002</v>
      </c>
      <c r="F11" s="19">
        <v>109.074</v>
      </c>
      <c r="G11" s="19">
        <v>108.711</v>
      </c>
      <c r="H11" s="19">
        <v>108.645</v>
      </c>
      <c r="I11" s="19">
        <v>108.60899999999999</v>
      </c>
      <c r="J11" s="19">
        <v>108.91800000000001</v>
      </c>
      <c r="K11" s="19">
        <v>109.328</v>
      </c>
      <c r="L11" s="19">
        <v>109.848</v>
      </c>
      <c r="M11" s="19">
        <v>110.872</v>
      </c>
      <c r="N11" s="19">
        <v>111.508</v>
      </c>
    </row>
    <row r="12" spans="1:17" ht="16.5" thickBot="1">
      <c r="B12" s="10">
        <v>2013</v>
      </c>
      <c r="C12" s="19">
        <v>104.28400000000001</v>
      </c>
      <c r="D12" s="19">
        <v>104.496</v>
      </c>
      <c r="E12" s="19">
        <v>104.556</v>
      </c>
      <c r="F12" s="19">
        <v>104.22799999999999</v>
      </c>
      <c r="G12" s="19">
        <v>103.899</v>
      </c>
      <c r="H12" s="19">
        <v>104.378</v>
      </c>
      <c r="I12" s="19">
        <v>104.964</v>
      </c>
      <c r="J12" s="19">
        <v>105.279</v>
      </c>
      <c r="K12" s="19">
        <v>105.74299999999999</v>
      </c>
      <c r="L12" s="19">
        <v>106.27800000000001</v>
      </c>
      <c r="M12" s="19">
        <v>107</v>
      </c>
      <c r="N12" s="19">
        <v>107.246</v>
      </c>
    </row>
    <row r="13" spans="1:17" ht="16.5" thickBot="1">
      <c r="B13" s="10">
        <v>2012</v>
      </c>
      <c r="C13" s="20">
        <v>100.22799999999999</v>
      </c>
      <c r="D13" s="21">
        <v>100.604</v>
      </c>
      <c r="E13" s="21">
        <v>100.797</v>
      </c>
      <c r="F13" s="21">
        <v>100.789</v>
      </c>
      <c r="G13" s="21">
        <v>100.04600000000001</v>
      </c>
      <c r="H13" s="21">
        <v>100.041</v>
      </c>
      <c r="I13" s="21">
        <v>100.521</v>
      </c>
      <c r="J13" s="21">
        <v>100.68</v>
      </c>
      <c r="K13" s="21">
        <v>100.92700000000001</v>
      </c>
      <c r="L13" s="21">
        <v>101.608</v>
      </c>
      <c r="M13" s="21">
        <v>102.70699999999999</v>
      </c>
      <c r="N13" s="21">
        <v>103.551</v>
      </c>
    </row>
    <row r="14" spans="1:17" ht="16.5" thickBot="1">
      <c r="B14" s="10">
        <v>2011</v>
      </c>
      <c r="C14" s="20">
        <v>96.575479439774</v>
      </c>
      <c r="D14" s="20">
        <v>97.134050050685005</v>
      </c>
      <c r="E14" s="20">
        <v>97.823643397488993</v>
      </c>
      <c r="F14" s="20">
        <v>97.511947204733005</v>
      </c>
      <c r="G14" s="20">
        <v>96.897519532732005</v>
      </c>
      <c r="H14" s="20">
        <v>96.867177425471994</v>
      </c>
      <c r="I14" s="20">
        <v>97.077503396246996</v>
      </c>
      <c r="J14" s="20">
        <v>97.347134394847004</v>
      </c>
      <c r="K14" s="20">
        <v>97.857433471481997</v>
      </c>
      <c r="L14" s="20">
        <v>98.461517243282003</v>
      </c>
      <c r="M14" s="20">
        <v>99.250412032024997</v>
      </c>
      <c r="N14" s="20">
        <v>99.742092088296005</v>
      </c>
    </row>
    <row r="15" spans="1:17" ht="16.5" thickBot="1">
      <c r="B15" s="10">
        <v>2010</v>
      </c>
      <c r="C15" s="15">
        <v>92.454469599277004</v>
      </c>
      <c r="D15" s="15">
        <v>92.658589229930996</v>
      </c>
      <c r="E15" s="15">
        <v>93.19164488701</v>
      </c>
      <c r="F15" s="15">
        <v>93.517822540048002</v>
      </c>
      <c r="G15" s="15">
        <v>93.245433168060998</v>
      </c>
      <c r="H15" s="15">
        <v>93.417141911415001</v>
      </c>
      <c r="I15" s="15">
        <v>93.671601856384996</v>
      </c>
      <c r="J15" s="15">
        <v>93.895719694096002</v>
      </c>
      <c r="K15" s="15">
        <v>94.366711949963005</v>
      </c>
      <c r="L15" s="15">
        <v>94.652203595540001</v>
      </c>
      <c r="M15" s="15">
        <v>95.143194058464005</v>
      </c>
      <c r="N15" s="15">
        <v>95.536951859487999</v>
      </c>
    </row>
    <row r="16" spans="1:17" ht="16.5" thickBot="1">
      <c r="B16" s="10">
        <v>2009</v>
      </c>
      <c r="C16" s="15">
        <v>86.989442325859997</v>
      </c>
      <c r="D16" s="15">
        <v>87.248039830912006</v>
      </c>
      <c r="E16" s="15">
        <v>87.880396929930001</v>
      </c>
      <c r="F16" s="15">
        <v>88.080379000503001</v>
      </c>
      <c r="G16" s="15">
        <v>87.985215118645002</v>
      </c>
      <c r="H16" s="15">
        <v>88.349320405756998</v>
      </c>
      <c r="I16" s="15">
        <v>88.841690055374002</v>
      </c>
      <c r="J16" s="15">
        <v>89.354747505396006</v>
      </c>
      <c r="K16" s="15">
        <v>89.963658430622999</v>
      </c>
      <c r="L16" s="15">
        <v>90.576706915931993</v>
      </c>
      <c r="M16" s="15">
        <v>91.606269782709006</v>
      </c>
      <c r="N16" s="15">
        <v>92.240695661768001</v>
      </c>
      <c r="P16" s="2"/>
      <c r="Q16" s="2"/>
    </row>
    <row r="17" spans="2:14" ht="16.5" thickBot="1">
      <c r="B17" s="10">
        <v>2008</v>
      </c>
      <c r="C17" s="15">
        <v>83.882134705164006</v>
      </c>
      <c r="D17" s="15">
        <v>84.116596443077995</v>
      </c>
      <c r="E17" s="15">
        <v>84.298649086634001</v>
      </c>
      <c r="F17" s="15">
        <v>84.248308772317003</v>
      </c>
      <c r="G17" s="15">
        <v>83.837311137621995</v>
      </c>
      <c r="H17" s="15">
        <v>83.937991766254996</v>
      </c>
      <c r="I17" s="15">
        <v>84.294511526552995</v>
      </c>
      <c r="J17" s="15">
        <v>84.637929013261001</v>
      </c>
      <c r="K17" s="15">
        <v>85.295111472765001</v>
      </c>
      <c r="L17" s="15">
        <v>85.627495465924</v>
      </c>
      <c r="M17" s="15">
        <v>86.231579237724006</v>
      </c>
      <c r="N17" s="15">
        <v>86.588098998020996</v>
      </c>
    </row>
    <row r="18" spans="2:14" ht="16.5" thickBot="1">
      <c r="B18" s="10">
        <v>2007</v>
      </c>
      <c r="C18" s="15">
        <v>80.670698489100999</v>
      </c>
      <c r="D18" s="15">
        <v>80.794135698179005</v>
      </c>
      <c r="E18" s="15">
        <v>80.895505920158996</v>
      </c>
      <c r="F18" s="15">
        <v>81.014115975809005</v>
      </c>
      <c r="G18" s="15">
        <v>80.653458655430995</v>
      </c>
      <c r="H18" s="15">
        <v>80.723107583458003</v>
      </c>
      <c r="I18" s="15">
        <v>80.944467047781998</v>
      </c>
      <c r="J18" s="15">
        <v>81.357533462516997</v>
      </c>
      <c r="K18" s="15">
        <v>82.178839138559994</v>
      </c>
      <c r="L18" s="15">
        <v>82.538117272245003</v>
      </c>
      <c r="M18" s="15">
        <v>82.971181894037002</v>
      </c>
      <c r="N18" s="15">
        <v>83.451138863411998</v>
      </c>
    </row>
    <row r="19" spans="2:14" ht="16.5" thickBot="1">
      <c r="B19" s="10">
        <v>2006</v>
      </c>
      <c r="C19" s="15">
        <v>77.616489556109002</v>
      </c>
      <c r="D19" s="15">
        <v>77.875087061160002</v>
      </c>
      <c r="E19" s="15">
        <v>78.226090074683</v>
      </c>
      <c r="F19" s="15">
        <v>78.504685786791995</v>
      </c>
      <c r="G19" s="15">
        <v>78.307462089606005</v>
      </c>
      <c r="H19" s="15">
        <v>78.232296414803997</v>
      </c>
      <c r="I19" s="15">
        <v>78.538475860784999</v>
      </c>
      <c r="J19" s="15">
        <v>78.632260555949998</v>
      </c>
      <c r="K19" s="15">
        <v>78.947404715439006</v>
      </c>
      <c r="L19" s="15">
        <v>79.141180445890996</v>
      </c>
      <c r="M19" s="15">
        <v>79.710784550350994</v>
      </c>
      <c r="N19" s="15">
        <v>80.200395826581001</v>
      </c>
    </row>
    <row r="20" spans="2:14" ht="16.5" thickBot="1">
      <c r="B20" s="10">
        <v>2005</v>
      </c>
      <c r="C20" s="15">
        <v>74.2423093102</v>
      </c>
      <c r="D20" s="15">
        <v>74.686407425541006</v>
      </c>
      <c r="E20" s="15">
        <v>74.939488183818</v>
      </c>
      <c r="F20" s="15">
        <v>75.052581492694003</v>
      </c>
      <c r="G20" s="15">
        <v>74.864322509016006</v>
      </c>
      <c r="H20" s="15">
        <v>74.984311751359996</v>
      </c>
      <c r="I20" s="15">
        <v>75.180845855198996</v>
      </c>
      <c r="J20" s="15">
        <v>75.644942177597997</v>
      </c>
      <c r="K20" s="15">
        <v>76.270403343148999</v>
      </c>
      <c r="L20" s="15">
        <v>76.798631846800006</v>
      </c>
      <c r="M20" s="15">
        <v>77.453745526263006</v>
      </c>
      <c r="N20" s="15">
        <v>77.613731182722006</v>
      </c>
    </row>
    <row r="21" spans="2:14" ht="16.5" thickBot="1">
      <c r="B21" s="10">
        <v>2004</v>
      </c>
      <c r="C21" s="15">
        <v>71.248784591725993</v>
      </c>
      <c r="D21" s="15">
        <v>71.446697882259002</v>
      </c>
      <c r="E21" s="15">
        <v>71.897691931067996</v>
      </c>
      <c r="F21" s="15">
        <v>72.020439546798997</v>
      </c>
      <c r="G21" s="15">
        <v>71.788046588927003</v>
      </c>
      <c r="H21" s="15">
        <v>71.847351616751993</v>
      </c>
      <c r="I21" s="15">
        <v>71.951480212118994</v>
      </c>
      <c r="J21" s="15">
        <v>72.167322929668003</v>
      </c>
      <c r="K21" s="15">
        <v>72.596939584726996</v>
      </c>
      <c r="L21" s="15">
        <v>72.863122616593003</v>
      </c>
      <c r="M21" s="15">
        <v>73.46789598174</v>
      </c>
      <c r="N21" s="15">
        <v>73.783729734575999</v>
      </c>
    </row>
    <row r="22" spans="2:14" ht="16.5" thickBot="1">
      <c r="B22" s="10">
        <v>2003</v>
      </c>
      <c r="C22" s="15">
        <v>67.754636301573001</v>
      </c>
      <c r="D22" s="15">
        <v>67.711079179107998</v>
      </c>
      <c r="E22" s="15">
        <v>68.057434733438001</v>
      </c>
      <c r="F22" s="15">
        <v>68.429198616676004</v>
      </c>
      <c r="G22" s="15">
        <v>68.567893678497995</v>
      </c>
      <c r="H22" s="15">
        <v>68.902213711873998</v>
      </c>
      <c r="I22" s="15">
        <v>69.100011723086993</v>
      </c>
      <c r="J22" s="15">
        <v>69.362746788218999</v>
      </c>
      <c r="K22" s="15">
        <v>69.779950763035004</v>
      </c>
      <c r="L22" s="15">
        <v>70.087509395709006</v>
      </c>
      <c r="M22" s="15">
        <v>70.654355126781994</v>
      </c>
      <c r="N22" s="15">
        <v>70.961913759455996</v>
      </c>
    </row>
    <row r="23" spans="2:14" ht="16.5" thickBot="1">
      <c r="B23" s="10">
        <v>2002</v>
      </c>
      <c r="C23" s="15">
        <v>64.659787943149993</v>
      </c>
      <c r="D23" s="15">
        <v>64.616994979759994</v>
      </c>
      <c r="E23" s="15">
        <v>65.026393744008999</v>
      </c>
      <c r="F23" s="15">
        <v>65.354409466736996</v>
      </c>
      <c r="G23" s="15">
        <v>65.504375883541002</v>
      </c>
      <c r="H23" s="15">
        <v>65.659309337783995</v>
      </c>
      <c r="I23" s="15">
        <v>65.488710598360001</v>
      </c>
      <c r="J23" s="15">
        <v>65.876712887810001</v>
      </c>
      <c r="K23" s="15">
        <v>66.489951356085001</v>
      </c>
      <c r="L23" s="15">
        <v>66.790457310723994</v>
      </c>
      <c r="M23" s="15">
        <v>67.042057015577996</v>
      </c>
      <c r="N23" s="15">
        <v>67.134902470813003</v>
      </c>
    </row>
    <row r="24" spans="2:14" ht="16.5" thickBot="1">
      <c r="B24" s="10">
        <v>2001</v>
      </c>
      <c r="C24" s="15">
        <v>59.808326584512997</v>
      </c>
      <c r="D24" s="15">
        <v>60.338844724266004</v>
      </c>
      <c r="E24" s="15">
        <v>60.673355802583004</v>
      </c>
      <c r="F24" s="15">
        <v>61.018565121747997</v>
      </c>
      <c r="G24" s="15">
        <v>61.246666912621997</v>
      </c>
      <c r="H24" s="15">
        <v>61.609451911207998</v>
      </c>
      <c r="I24" s="15">
        <v>61.849780261079999</v>
      </c>
      <c r="J24" s="15">
        <v>62.189640459821</v>
      </c>
      <c r="K24" s="15">
        <v>62.643933633536001</v>
      </c>
      <c r="L24" s="15">
        <v>63.07530200051</v>
      </c>
      <c r="M24" s="15">
        <v>63.614607979973997</v>
      </c>
      <c r="N24" s="15">
        <v>64.303307262108007</v>
      </c>
    </row>
    <row r="25" spans="2:14" ht="16.5" thickBot="1">
      <c r="B25" s="11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</row>
    <row r="26" spans="2:14" ht="16.5" thickBot="1">
      <c r="B26" s="11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</row>
    <row r="27" spans="2:14" ht="16.5" thickBot="1">
      <c r="B27" s="13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</row>
    <row r="28" spans="2:14" ht="16.5" thickBot="1">
      <c r="B28" s="13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2:14" ht="16.5" thickBot="1">
      <c r="B29" s="13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2:14" ht="16.5" thickBot="1">
      <c r="B30" s="13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2:14" ht="16.5" thickBot="1"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</sheetData>
  <phoneticPr fontId="2" type="noConversion"/>
  <pageMargins left="0.25" right="0.25" top="0.75" bottom="0.75" header="0.3" footer="0.3"/>
  <pageSetup paperSize="11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19</vt:i4>
      </vt:variant>
    </vt:vector>
  </HeadingPairs>
  <TitlesOfParts>
    <vt:vector size="36" baseType="lpstr">
      <vt:lpstr>INDICE</vt:lpstr>
      <vt:lpstr>Cédula 1</vt:lpstr>
      <vt:lpstr>Cedula 2</vt:lpstr>
      <vt:lpstr>Cédula 3</vt:lpstr>
      <vt:lpstr>Cédula 4</vt:lpstr>
      <vt:lpstr>Cédula 5</vt:lpstr>
      <vt:lpstr>Cédula 6</vt:lpstr>
      <vt:lpstr>Cédula 7</vt:lpstr>
      <vt:lpstr>Cédula 8</vt:lpstr>
      <vt:lpstr>Cédula 9</vt:lpstr>
      <vt:lpstr>Cédula 10</vt:lpstr>
      <vt:lpstr>Cédula 11</vt:lpstr>
      <vt:lpstr>Cédula 12</vt:lpstr>
      <vt:lpstr>Cédula 13</vt:lpstr>
      <vt:lpstr>Cédula 14</vt:lpstr>
      <vt:lpstr>Cédula 15</vt:lpstr>
      <vt:lpstr>INPC</vt:lpstr>
      <vt:lpstr>'Cédula 1'!Área_de_impresión</vt:lpstr>
      <vt:lpstr>'Cédula 10'!Área_de_impresión</vt:lpstr>
      <vt:lpstr>'Cédula 11'!Área_de_impresión</vt:lpstr>
      <vt:lpstr>'Cédula 12'!Área_de_impresión</vt:lpstr>
      <vt:lpstr>'Cédula 13'!Área_de_impresión</vt:lpstr>
      <vt:lpstr>'Cédula 14'!Área_de_impresión</vt:lpstr>
      <vt:lpstr>'Cédula 15'!Área_de_impresión</vt:lpstr>
      <vt:lpstr>'Cedula 2'!Área_de_impresión</vt:lpstr>
      <vt:lpstr>'Cédula 3'!Área_de_impresión</vt:lpstr>
      <vt:lpstr>'Cédula 4'!Área_de_impresión</vt:lpstr>
      <vt:lpstr>'Cédula 5'!Área_de_impresión</vt:lpstr>
      <vt:lpstr>'Cédula 6'!Área_de_impresión</vt:lpstr>
      <vt:lpstr>'Cédula 7'!Área_de_impresión</vt:lpstr>
      <vt:lpstr>'Cédula 8'!Área_de_impresión</vt:lpstr>
      <vt:lpstr>'Cédula 9'!Área_de_impresión</vt:lpstr>
      <vt:lpstr>INDICE!Área_de_impresión</vt:lpstr>
      <vt:lpstr>INPC!Área_de_impresión</vt:lpstr>
      <vt:lpstr>Excel_BuiltIn_Print_Area_13_1</vt:lpstr>
      <vt:lpstr>Excel_BuiltIn_Print_Area_7_1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</dc:creator>
  <cp:lastModifiedBy>Mario Beltran</cp:lastModifiedBy>
  <cp:lastPrinted>2022-02-28T05:45:10Z</cp:lastPrinted>
  <dcterms:created xsi:type="dcterms:W3CDTF">2009-02-06T21:06:04Z</dcterms:created>
  <dcterms:modified xsi:type="dcterms:W3CDTF">2022-02-28T23:12:55Z</dcterms:modified>
</cp:coreProperties>
</file>